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0755" windowHeight="9975"/>
  </bookViews>
  <sheets>
    <sheet name="ENTREGADOS" sheetId="1" r:id="rId1"/>
    <sheet name="DESCRIPCION 2024" sheetId="7" r:id="rId2"/>
    <sheet name="TIEMPOS (2)" sheetId="4" r:id="rId3"/>
    <sheet name="TIEMPOS 30mm PUNTA" sheetId="5" r:id="rId4"/>
    <sheet name="ultimo pedido" sheetId="6" r:id="rId5"/>
  </sheets>
  <calcPr calcId="124519"/>
</workbook>
</file>

<file path=xl/calcChain.xml><?xml version="1.0" encoding="utf-8"?>
<calcChain xmlns="http://schemas.openxmlformats.org/spreadsheetml/2006/main">
  <c r="G256" i="1"/>
  <c r="G255"/>
  <c r="G254"/>
  <c r="G253"/>
  <c r="G251"/>
  <c r="G250"/>
  <c r="G249"/>
  <c r="G248"/>
  <c r="G247"/>
  <c r="G246"/>
  <c r="G245"/>
  <c r="G243"/>
  <c r="G242"/>
  <c r="G238"/>
  <c r="G241"/>
  <c r="G240"/>
  <c r="G239"/>
  <c r="G237"/>
  <c r="G234"/>
  <c r="G235"/>
  <c r="G231"/>
  <c r="G232"/>
  <c r="G233"/>
  <c r="G228"/>
  <c r="G230" l="1"/>
  <c r="G229" l="1"/>
  <c r="G226" l="1"/>
  <c r="G225"/>
  <c r="G224" l="1"/>
  <c r="N56" i="5"/>
  <c r="P56" s="1"/>
  <c r="S56" s="1"/>
  <c r="G223" i="1"/>
  <c r="G221"/>
  <c r="G220"/>
  <c r="G219"/>
  <c r="G218"/>
  <c r="G217"/>
  <c r="G214"/>
  <c r="G213"/>
  <c r="G212"/>
  <c r="G210"/>
  <c r="G209"/>
  <c r="G208"/>
  <c r="G207"/>
  <c r="S10" i="7"/>
  <c r="S9"/>
  <c r="S8"/>
  <c r="Q9"/>
  <c r="R9" s="1"/>
  <c r="T9" s="1"/>
  <c r="Q8"/>
  <c r="R8" s="1"/>
  <c r="T8" s="1"/>
  <c r="O9"/>
  <c r="O10"/>
  <c r="Q10" s="1"/>
  <c r="R10" s="1"/>
  <c r="T10" s="1"/>
  <c r="O8"/>
  <c r="G206" i="1"/>
  <c r="G205"/>
  <c r="U56" i="5" l="1"/>
  <c r="W56"/>
  <c r="T13" i="7"/>
  <c r="T14"/>
  <c r="T12"/>
  <c r="S14"/>
  <c r="S13"/>
  <c r="S12"/>
  <c r="Q13"/>
  <c r="R13" s="1"/>
  <c r="O13"/>
  <c r="O14"/>
  <c r="Q14" s="1"/>
  <c r="R14" s="1"/>
  <c r="O12"/>
  <c r="Q12" s="1"/>
  <c r="R12" s="1"/>
  <c r="V98"/>
  <c r="J98"/>
  <c r="E98"/>
  <c r="V97"/>
  <c r="J97"/>
  <c r="E97"/>
  <c r="V96"/>
  <c r="V99" s="1"/>
  <c r="J96"/>
  <c r="J99" s="1"/>
  <c r="E96"/>
  <c r="O93"/>
  <c r="Q93" s="1"/>
  <c r="T93" s="1"/>
  <c r="X93" s="1"/>
  <c r="AB93" s="1"/>
  <c r="O92"/>
  <c r="Q92" s="1"/>
  <c r="T92" s="1"/>
  <c r="X92" s="1"/>
  <c r="AB92" s="1"/>
  <c r="Q90"/>
  <c r="R90" s="1"/>
  <c r="S90" s="1"/>
  <c r="R89"/>
  <c r="S89" s="1"/>
  <c r="Q89"/>
  <c r="V88"/>
  <c r="R87"/>
  <c r="R86"/>
  <c r="U85"/>
  <c r="U84"/>
  <c r="U83"/>
  <c r="U82"/>
  <c r="U81"/>
  <c r="O79"/>
  <c r="Q79" s="1"/>
  <c r="R79" s="1"/>
  <c r="S79" s="1"/>
  <c r="T78"/>
  <c r="O77"/>
  <c r="Q77" s="1"/>
  <c r="O76"/>
  <c r="Q76" s="1"/>
  <c r="X75"/>
  <c r="O74"/>
  <c r="Q74" s="1"/>
  <c r="X73"/>
  <c r="O72"/>
  <c r="Q72" s="1"/>
  <c r="R72" s="1"/>
  <c r="S72" s="1"/>
  <c r="X71"/>
  <c r="O70"/>
  <c r="Q70" s="1"/>
  <c r="G70"/>
  <c r="U87" s="1"/>
  <c r="V87" s="1"/>
  <c r="O69"/>
  <c r="Q69" s="1"/>
  <c r="T69" s="1"/>
  <c r="O68"/>
  <c r="Q68" s="1"/>
  <c r="T68" s="1"/>
  <c r="G68"/>
  <c r="U86" s="1"/>
  <c r="V86" s="1"/>
  <c r="E66"/>
  <c r="U79" s="1"/>
  <c r="E65"/>
  <c r="U78" s="1"/>
  <c r="E64"/>
  <c r="U76" s="1"/>
  <c r="Q63"/>
  <c r="T63" s="1"/>
  <c r="O63"/>
  <c r="O62"/>
  <c r="Q62" s="1"/>
  <c r="T62" s="1"/>
  <c r="O61"/>
  <c r="Q61" s="1"/>
  <c r="T61" s="1"/>
  <c r="O60"/>
  <c r="Q60" s="1"/>
  <c r="T60" s="1"/>
  <c r="Q59"/>
  <c r="T59" s="1"/>
  <c r="O59"/>
  <c r="D59"/>
  <c r="E59" s="1"/>
  <c r="O58"/>
  <c r="Q58" s="1"/>
  <c r="R58" s="1"/>
  <c r="S58" s="1"/>
  <c r="D58"/>
  <c r="E58" s="1"/>
  <c r="U72" s="1"/>
  <c r="Q57"/>
  <c r="T57" s="1"/>
  <c r="O57"/>
  <c r="D57"/>
  <c r="E57" s="1"/>
  <c r="O56"/>
  <c r="Q56" s="1"/>
  <c r="R56" s="1"/>
  <c r="S56" s="1"/>
  <c r="D56"/>
  <c r="E56" s="1"/>
  <c r="Q55"/>
  <c r="T55" s="1"/>
  <c r="O55"/>
  <c r="D55"/>
  <c r="E55" s="1"/>
  <c r="Q54"/>
  <c r="R54" s="1"/>
  <c r="S54" s="1"/>
  <c r="O54"/>
  <c r="D54"/>
  <c r="E54" s="1"/>
  <c r="O53"/>
  <c r="Q53" s="1"/>
  <c r="E53"/>
  <c r="D53"/>
  <c r="O52"/>
  <c r="Q52" s="1"/>
  <c r="T52" s="1"/>
  <c r="D52"/>
  <c r="E52" s="1"/>
  <c r="G52" s="1"/>
  <c r="U68" s="1"/>
  <c r="E49"/>
  <c r="U89" s="1"/>
  <c r="E48"/>
  <c r="U90" s="1"/>
  <c r="O46"/>
  <c r="Q46" s="1"/>
  <c r="G46"/>
  <c r="U62" s="1"/>
  <c r="D46"/>
  <c r="F46" s="1"/>
  <c r="D45"/>
  <c r="F45" s="1"/>
  <c r="O44"/>
  <c r="Q44" s="1"/>
  <c r="D44"/>
  <c r="H44" s="1"/>
  <c r="O43"/>
  <c r="Q43" s="1"/>
  <c r="T43" s="1"/>
  <c r="D43"/>
  <c r="H43" s="1"/>
  <c r="O42"/>
  <c r="Q42" s="1"/>
  <c r="D42"/>
  <c r="F42" s="1"/>
  <c r="Q41"/>
  <c r="R41" s="1"/>
  <c r="S41" s="1"/>
  <c r="O41"/>
  <c r="D41"/>
  <c r="G41" s="1"/>
  <c r="O40"/>
  <c r="Q40" s="1"/>
  <c r="O39"/>
  <c r="Q39" s="1"/>
  <c r="O38"/>
  <c r="Q38" s="1"/>
  <c r="O37"/>
  <c r="Q37" s="1"/>
  <c r="O36"/>
  <c r="Q36" s="1"/>
  <c r="O35"/>
  <c r="Q35" s="1"/>
  <c r="O34"/>
  <c r="Q34" s="1"/>
  <c r="O32"/>
  <c r="Q32" s="1"/>
  <c r="O31"/>
  <c r="Q31" s="1"/>
  <c r="O30"/>
  <c r="Q30" s="1"/>
  <c r="O29"/>
  <c r="Q29" s="1"/>
  <c r="E75" i="5"/>
  <c r="E74"/>
  <c r="E73"/>
  <c r="V79" i="7" l="1"/>
  <c r="U43"/>
  <c r="X43" s="1"/>
  <c r="G54"/>
  <c r="U70" s="1"/>
  <c r="V72"/>
  <c r="E42"/>
  <c r="U32" s="1"/>
  <c r="E44"/>
  <c r="G53"/>
  <c r="U69" s="1"/>
  <c r="X69" s="1"/>
  <c r="G42"/>
  <c r="G44"/>
  <c r="U56" s="1"/>
  <c r="V56" s="1"/>
  <c r="E46"/>
  <c r="T32"/>
  <c r="X32" s="1"/>
  <c r="R32"/>
  <c r="S32" s="1"/>
  <c r="V32" s="1"/>
  <c r="U53"/>
  <c r="U30"/>
  <c r="T31"/>
  <c r="R31"/>
  <c r="S31" s="1"/>
  <c r="T46"/>
  <c r="R46"/>
  <c r="T30"/>
  <c r="X30" s="1"/>
  <c r="R30"/>
  <c r="S30" s="1"/>
  <c r="V30" s="1"/>
  <c r="T35"/>
  <c r="R35"/>
  <c r="S35" s="1"/>
  <c r="T39"/>
  <c r="R39"/>
  <c r="S39" s="1"/>
  <c r="T29"/>
  <c r="R29"/>
  <c r="S29" s="1"/>
  <c r="T34"/>
  <c r="R34"/>
  <c r="S34" s="1"/>
  <c r="R38"/>
  <c r="S38" s="1"/>
  <c r="T38"/>
  <c r="R70"/>
  <c r="S70" s="1"/>
  <c r="V70" s="1"/>
  <c r="T70"/>
  <c r="X70" s="1"/>
  <c r="T77"/>
  <c r="R77"/>
  <c r="S77" s="1"/>
  <c r="X62"/>
  <c r="X68"/>
  <c r="T37"/>
  <c r="R37"/>
  <c r="S37" s="1"/>
  <c r="U46"/>
  <c r="U42"/>
  <c r="U61"/>
  <c r="T76"/>
  <c r="X76" s="1"/>
  <c r="R76"/>
  <c r="S76" s="1"/>
  <c r="V76" s="1"/>
  <c r="V90"/>
  <c r="T40"/>
  <c r="R40"/>
  <c r="S40" s="1"/>
  <c r="U57"/>
  <c r="X57" s="1"/>
  <c r="U37"/>
  <c r="U58"/>
  <c r="V58" s="1"/>
  <c r="U39"/>
  <c r="T53"/>
  <c r="X53" s="1"/>
  <c r="R53"/>
  <c r="S53" s="1"/>
  <c r="V53" s="1"/>
  <c r="X61"/>
  <c r="V89"/>
  <c r="T36"/>
  <c r="R36"/>
  <c r="S36" s="1"/>
  <c r="T42"/>
  <c r="R42"/>
  <c r="S42" s="1"/>
  <c r="V42" s="1"/>
  <c r="R44"/>
  <c r="S44" s="1"/>
  <c r="T44"/>
  <c r="T74"/>
  <c r="X74" s="1"/>
  <c r="R74"/>
  <c r="S74" s="1"/>
  <c r="V74" s="1"/>
  <c r="X78"/>
  <c r="F41"/>
  <c r="U36"/>
  <c r="E41"/>
  <c r="T41"/>
  <c r="H42"/>
  <c r="G43"/>
  <c r="R43"/>
  <c r="S43" s="1"/>
  <c r="V43" s="1"/>
  <c r="F44"/>
  <c r="E45"/>
  <c r="U38" s="1"/>
  <c r="H46"/>
  <c r="R52"/>
  <c r="S52" s="1"/>
  <c r="T54"/>
  <c r="R55"/>
  <c r="S55" s="1"/>
  <c r="T56"/>
  <c r="X56" s="1"/>
  <c r="R57"/>
  <c r="S57" s="1"/>
  <c r="V57" s="1"/>
  <c r="T58"/>
  <c r="X58" s="1"/>
  <c r="R59"/>
  <c r="S59" s="1"/>
  <c r="R60"/>
  <c r="S60" s="1"/>
  <c r="R61"/>
  <c r="S61" s="1"/>
  <c r="V61" s="1"/>
  <c r="R62"/>
  <c r="S62" s="1"/>
  <c r="V62" s="1"/>
  <c r="R63"/>
  <c r="S63" s="1"/>
  <c r="R68"/>
  <c r="S68" s="1"/>
  <c r="V68" s="1"/>
  <c r="R69"/>
  <c r="S69" s="1"/>
  <c r="V69" s="1"/>
  <c r="T72"/>
  <c r="X72" s="1"/>
  <c r="T79"/>
  <c r="X79" s="1"/>
  <c r="R92"/>
  <c r="S92" s="1"/>
  <c r="V92" s="1"/>
  <c r="R93"/>
  <c r="S93" s="1"/>
  <c r="V93" s="1"/>
  <c r="F43"/>
  <c r="U34" s="1"/>
  <c r="H45"/>
  <c r="H41"/>
  <c r="E43"/>
  <c r="G45"/>
  <c r="U77"/>
  <c r="X42" l="1"/>
  <c r="V37"/>
  <c r="U54"/>
  <c r="V54" s="1"/>
  <c r="U31"/>
  <c r="X31" s="1"/>
  <c r="U63"/>
  <c r="X63" s="1"/>
  <c r="U44"/>
  <c r="X34"/>
  <c r="X39"/>
  <c r="V44"/>
  <c r="X36"/>
  <c r="V34"/>
  <c r="V39"/>
  <c r="V31"/>
  <c r="U59"/>
  <c r="X59" s="1"/>
  <c r="U40"/>
  <c r="V40" s="1"/>
  <c r="U55"/>
  <c r="X55" s="1"/>
  <c r="U35"/>
  <c r="X35" s="1"/>
  <c r="X54"/>
  <c r="X44"/>
  <c r="V36"/>
  <c r="X77"/>
  <c r="V38"/>
  <c r="X46"/>
  <c r="U41"/>
  <c r="V41" s="1"/>
  <c r="U60"/>
  <c r="X60" s="1"/>
  <c r="U52"/>
  <c r="X52" s="1"/>
  <c r="U29"/>
  <c r="X29" s="1"/>
  <c r="V46"/>
  <c r="S46"/>
  <c r="V63"/>
  <c r="V59"/>
  <c r="V55"/>
  <c r="X37"/>
  <c r="V77"/>
  <c r="X38"/>
  <c r="V35"/>
  <c r="V29" l="1"/>
  <c r="V60"/>
  <c r="X41"/>
  <c r="X40"/>
  <c r="V52"/>
  <c r="S54" i="5" l="1"/>
  <c r="W47"/>
  <c r="W49"/>
  <c r="W51"/>
  <c r="F196" i="1" l="1"/>
  <c r="F195"/>
  <c r="N70" i="5"/>
  <c r="P70" s="1"/>
  <c r="P69"/>
  <c r="N69"/>
  <c r="R69" l="1"/>
  <c r="U69" s="1"/>
  <c r="S69"/>
  <c r="W69" s="1"/>
  <c r="AA69" s="1"/>
  <c r="Q69"/>
  <c r="Q70"/>
  <c r="R70" s="1"/>
  <c r="U70" s="1"/>
  <c r="S70"/>
  <c r="W70" s="1"/>
  <c r="AA70" s="1"/>
  <c r="F193" i="1"/>
  <c r="F192"/>
  <c r="U65" i="5"/>
  <c r="Q66"/>
  <c r="R66" s="1"/>
  <c r="U66" s="1"/>
  <c r="P67"/>
  <c r="Q67" s="1"/>
  <c r="R67" s="1"/>
  <c r="P66"/>
  <c r="E25"/>
  <c r="T66" s="1"/>
  <c r="E24"/>
  <c r="T67" s="1"/>
  <c r="F190" i="1"/>
  <c r="F188"/>
  <c r="F186"/>
  <c r="F185"/>
  <c r="F181"/>
  <c r="F182"/>
  <c r="U64" i="5"/>
  <c r="T64"/>
  <c r="G46"/>
  <c r="Q64"/>
  <c r="F180" i="1"/>
  <c r="F179"/>
  <c r="F178"/>
  <c r="U67" i="5" l="1"/>
  <c r="F175" i="1"/>
  <c r="F176"/>
  <c r="F174"/>
  <c r="F171" l="1"/>
  <c r="F169"/>
  <c r="Q63" i="5"/>
  <c r="T63"/>
  <c r="U63" s="1"/>
  <c r="G44"/>
  <c r="F166" i="1" l="1"/>
  <c r="F165"/>
  <c r="F157"/>
  <c r="F155"/>
  <c r="F164"/>
  <c r="F163"/>
  <c r="F162"/>
  <c r="F161"/>
  <c r="F160"/>
  <c r="T62" i="5" l="1"/>
  <c r="T61"/>
  <c r="T60"/>
  <c r="F156" i="1" l="1"/>
  <c r="T59" i="5"/>
  <c r="T58"/>
  <c r="F159" i="1"/>
  <c r="F168" l="1"/>
  <c r="F173" s="1"/>
  <c r="F177" s="1"/>
  <c r="F184" s="1"/>
  <c r="F187" s="1"/>
  <c r="F191" s="1"/>
  <c r="F194" s="1"/>
  <c r="F197" s="1"/>
  <c r="F199" s="1"/>
  <c r="F201" s="1"/>
  <c r="F158"/>
  <c r="F149" l="1"/>
  <c r="F148" l="1"/>
  <c r="F146"/>
  <c r="F147"/>
  <c r="F145"/>
  <c r="F143"/>
  <c r="F141"/>
  <c r="F142"/>
  <c r="F140"/>
  <c r="F137"/>
  <c r="F136"/>
  <c r="F134"/>
  <c r="F135"/>
  <c r="F131"/>
  <c r="F130"/>
  <c r="F127"/>
  <c r="E42" i="5"/>
  <c r="T55" s="1"/>
  <c r="N55"/>
  <c r="P55" s="1"/>
  <c r="S55" s="1"/>
  <c r="W55" s="1"/>
  <c r="F125" i="1"/>
  <c r="F126"/>
  <c r="F124"/>
  <c r="E41" i="5"/>
  <c r="E40"/>
  <c r="T52" s="1"/>
  <c r="P53"/>
  <c r="S53" s="1"/>
  <c r="P52"/>
  <c r="S52" s="1"/>
  <c r="W52" s="1"/>
  <c r="N53"/>
  <c r="N52"/>
  <c r="F122" i="1"/>
  <c r="W53" i="5" l="1"/>
  <c r="T53"/>
  <c r="T54"/>
  <c r="W54" s="1"/>
  <c r="Q53"/>
  <c r="R53" s="1"/>
  <c r="Q52"/>
  <c r="R52" s="1"/>
  <c r="U52" s="1"/>
  <c r="Q55"/>
  <c r="R55" s="1"/>
  <c r="U55" s="1"/>
  <c r="F118" i="1"/>
  <c r="F119"/>
  <c r="F117"/>
  <c r="E35" i="5"/>
  <c r="D35"/>
  <c r="N50"/>
  <c r="P50" s="1"/>
  <c r="F116" i="1"/>
  <c r="F113"/>
  <c r="F110"/>
  <c r="F109"/>
  <c r="F108"/>
  <c r="F105"/>
  <c r="F104"/>
  <c r="F103"/>
  <c r="F102"/>
  <c r="F98"/>
  <c r="F97"/>
  <c r="F94"/>
  <c r="F95"/>
  <c r="F96"/>
  <c r="F93"/>
  <c r="F91"/>
  <c r="J76" i="5"/>
  <c r="U74"/>
  <c r="U75"/>
  <c r="U73"/>
  <c r="J75"/>
  <c r="J74"/>
  <c r="J73"/>
  <c r="F87" i="1"/>
  <c r="F88"/>
  <c r="F86"/>
  <c r="D34" i="5"/>
  <c r="E34" s="1"/>
  <c r="T48" s="1"/>
  <c r="Q50" l="1"/>
  <c r="R50" s="1"/>
  <c r="U50" s="1"/>
  <c r="S50"/>
  <c r="W50" s="1"/>
  <c r="U53"/>
  <c r="U76"/>
  <c r="F84" i="1"/>
  <c r="N14" i="5" l="1"/>
  <c r="P14" s="1"/>
  <c r="N10"/>
  <c r="P10" s="1"/>
  <c r="Q8"/>
  <c r="R8" s="1"/>
  <c r="P8"/>
  <c r="S8" s="1"/>
  <c r="N8"/>
  <c r="D19"/>
  <c r="E19" s="1"/>
  <c r="D18"/>
  <c r="H18" s="1"/>
  <c r="D31"/>
  <c r="E31" s="1"/>
  <c r="D30"/>
  <c r="E30" s="1"/>
  <c r="N45"/>
  <c r="P45" s="1"/>
  <c r="F82" i="1"/>
  <c r="F81"/>
  <c r="Q14" i="5" l="1"/>
  <c r="R14" s="1"/>
  <c r="S14"/>
  <c r="S10"/>
  <c r="Q10"/>
  <c r="R10" s="1"/>
  <c r="Q45"/>
  <c r="R45" s="1"/>
  <c r="U45" s="1"/>
  <c r="S45"/>
  <c r="W45" s="1"/>
  <c r="U8"/>
  <c r="G19"/>
  <c r="E18"/>
  <c r="T8" s="1"/>
  <c r="W8" s="1"/>
  <c r="G18"/>
  <c r="F19"/>
  <c r="T10" s="1"/>
  <c r="H19"/>
  <c r="F18"/>
  <c r="G29"/>
  <c r="T45" s="1"/>
  <c r="N48"/>
  <c r="P48" s="1"/>
  <c r="F78" i="1"/>
  <c r="F76"/>
  <c r="F75"/>
  <c r="F73"/>
  <c r="F72"/>
  <c r="F71"/>
  <c r="F69"/>
  <c r="Q48" i="5" l="1"/>
  <c r="R48" s="1"/>
  <c r="U48" s="1"/>
  <c r="S48"/>
  <c r="W48" s="1"/>
  <c r="W10"/>
  <c r="U10"/>
  <c r="N22"/>
  <c r="P22" s="1"/>
  <c r="F67" i="1"/>
  <c r="N46" i="5"/>
  <c r="P46" s="1"/>
  <c r="N44"/>
  <c r="P44" s="1"/>
  <c r="N39"/>
  <c r="P39" s="1"/>
  <c r="N38"/>
  <c r="P38" s="1"/>
  <c r="N37"/>
  <c r="P37" s="1"/>
  <c r="N36"/>
  <c r="P36" s="1"/>
  <c r="N35"/>
  <c r="P35" s="1"/>
  <c r="N34"/>
  <c r="P34" s="1"/>
  <c r="N33"/>
  <c r="P33" s="1"/>
  <c r="N32"/>
  <c r="P32" s="1"/>
  <c r="N31"/>
  <c r="P31" s="1"/>
  <c r="N30"/>
  <c r="P30" s="1"/>
  <c r="N29"/>
  <c r="P29" s="1"/>
  <c r="N28"/>
  <c r="P28" s="1"/>
  <c r="N20"/>
  <c r="P20" s="1"/>
  <c r="N19"/>
  <c r="P19" s="1"/>
  <c r="N18"/>
  <c r="P18" s="1"/>
  <c r="N17"/>
  <c r="P17" s="1"/>
  <c r="N16"/>
  <c r="P16" s="1"/>
  <c r="N15"/>
  <c r="P15" s="1"/>
  <c r="N13"/>
  <c r="P13" s="1"/>
  <c r="N12"/>
  <c r="P12" s="1"/>
  <c r="N11"/>
  <c r="P11" s="1"/>
  <c r="N7"/>
  <c r="P7" s="1"/>
  <c r="N6"/>
  <c r="P6" s="1"/>
  <c r="N5"/>
  <c r="P5" s="1"/>
  <c r="D33"/>
  <c r="E33" s="1"/>
  <c r="D32"/>
  <c r="E32" s="1"/>
  <c r="D29"/>
  <c r="E29" s="1"/>
  <c r="D28"/>
  <c r="E28" s="1"/>
  <c r="D22"/>
  <c r="D21"/>
  <c r="D20"/>
  <c r="D17"/>
  <c r="K48" i="4"/>
  <c r="K45"/>
  <c r="K42"/>
  <c r="F66" i="1"/>
  <c r="F64"/>
  <c r="F63"/>
  <c r="F62"/>
  <c r="F61"/>
  <c r="C27" i="4"/>
  <c r="B27"/>
  <c r="F60" i="1"/>
  <c r="N61" i="4"/>
  <c r="K33"/>
  <c r="M33" s="1"/>
  <c r="N33" s="1"/>
  <c r="K15"/>
  <c r="M15" s="1"/>
  <c r="N15" s="1"/>
  <c r="K27"/>
  <c r="M27" s="1"/>
  <c r="N27" s="1"/>
  <c r="B52"/>
  <c r="C52" s="1"/>
  <c r="B48"/>
  <c r="B44"/>
  <c r="C44" s="1"/>
  <c r="O6" s="1"/>
  <c r="B40"/>
  <c r="C41" s="1"/>
  <c r="O27" s="1"/>
  <c r="C49"/>
  <c r="O21" s="1"/>
  <c r="C48"/>
  <c r="O18" s="1"/>
  <c r="K39"/>
  <c r="M39" s="1"/>
  <c r="N39" s="1"/>
  <c r="K36"/>
  <c r="M36" s="1"/>
  <c r="N36" s="1"/>
  <c r="K30"/>
  <c r="M30" s="1"/>
  <c r="N30" s="1"/>
  <c r="K24"/>
  <c r="M24" s="1"/>
  <c r="N24" s="1"/>
  <c r="K21"/>
  <c r="M21" s="1"/>
  <c r="N21" s="1"/>
  <c r="K18"/>
  <c r="M18" s="1"/>
  <c r="N18" s="1"/>
  <c r="K12"/>
  <c r="M12" s="1"/>
  <c r="N12" s="1"/>
  <c r="K9"/>
  <c r="M9" s="1"/>
  <c r="N9" s="1"/>
  <c r="M6"/>
  <c r="N6" s="1"/>
  <c r="K6"/>
  <c r="Q5" i="5" l="1"/>
  <c r="R5" s="1"/>
  <c r="S5"/>
  <c r="Q12"/>
  <c r="R12" s="1"/>
  <c r="S12"/>
  <c r="Q17"/>
  <c r="R17" s="1"/>
  <c r="S17"/>
  <c r="Q28"/>
  <c r="R28" s="1"/>
  <c r="S28"/>
  <c r="Q32"/>
  <c r="R32" s="1"/>
  <c r="S32"/>
  <c r="Q36"/>
  <c r="R36" s="1"/>
  <c r="S36"/>
  <c r="Q44"/>
  <c r="R44" s="1"/>
  <c r="S44"/>
  <c r="Q11"/>
  <c r="R11" s="1"/>
  <c r="S11"/>
  <c r="Q16"/>
  <c r="R16" s="1"/>
  <c r="S16"/>
  <c r="Q20"/>
  <c r="R20" s="1"/>
  <c r="S20"/>
  <c r="Q31"/>
  <c r="R31" s="1"/>
  <c r="S31"/>
  <c r="Q35"/>
  <c r="R35" s="1"/>
  <c r="S35"/>
  <c r="Q39"/>
  <c r="R39" s="1"/>
  <c r="S39"/>
  <c r="Q22"/>
  <c r="R22" s="1"/>
  <c r="S22"/>
  <c r="Q15"/>
  <c r="R15" s="1"/>
  <c r="S15"/>
  <c r="Q19"/>
  <c r="R19" s="1"/>
  <c r="S19"/>
  <c r="Q30"/>
  <c r="R30" s="1"/>
  <c r="S30"/>
  <c r="Q34"/>
  <c r="R34" s="1"/>
  <c r="S34"/>
  <c r="Q38"/>
  <c r="R38" s="1"/>
  <c r="S38"/>
  <c r="Q7"/>
  <c r="R7" s="1"/>
  <c r="S7"/>
  <c r="Q6"/>
  <c r="R6" s="1"/>
  <c r="S6"/>
  <c r="Q13"/>
  <c r="R13" s="1"/>
  <c r="U13" s="1"/>
  <c r="S13"/>
  <c r="Q18"/>
  <c r="R18" s="1"/>
  <c r="S18"/>
  <c r="Q29"/>
  <c r="R29" s="1"/>
  <c r="S29"/>
  <c r="Q33"/>
  <c r="R33" s="1"/>
  <c r="S33"/>
  <c r="Q37"/>
  <c r="R37" s="1"/>
  <c r="S37"/>
  <c r="Q46"/>
  <c r="R46" s="1"/>
  <c r="U46" s="1"/>
  <c r="S46"/>
  <c r="F77" i="1"/>
  <c r="F80" s="1"/>
  <c r="F85" s="1"/>
  <c r="F90" s="1"/>
  <c r="F101" s="1"/>
  <c r="F107" s="1"/>
  <c r="F112" s="1"/>
  <c r="F115" s="1"/>
  <c r="F120" s="1"/>
  <c r="F129" s="1"/>
  <c r="F133" s="1"/>
  <c r="F139" s="1"/>
  <c r="F150" s="1"/>
  <c r="F152" s="1"/>
  <c r="G22" i="5"/>
  <c r="T19" s="1"/>
  <c r="E22"/>
  <c r="H21"/>
  <c r="T36" s="1"/>
  <c r="E21"/>
  <c r="T14" s="1"/>
  <c r="H20"/>
  <c r="T13" s="1"/>
  <c r="E20"/>
  <c r="H17"/>
  <c r="T7" s="1"/>
  <c r="E17"/>
  <c r="G28"/>
  <c r="T44" s="1"/>
  <c r="G30"/>
  <c r="T46" s="1"/>
  <c r="F21"/>
  <c r="G21"/>
  <c r="H22"/>
  <c r="F20"/>
  <c r="G20"/>
  <c r="F17"/>
  <c r="G17"/>
  <c r="F22"/>
  <c r="T22" s="1"/>
  <c r="U22" s="1"/>
  <c r="C42" i="4"/>
  <c r="O30" s="1"/>
  <c r="P30" s="1"/>
  <c r="Q30" s="1"/>
  <c r="N58" s="1"/>
  <c r="C40"/>
  <c r="O24" s="1"/>
  <c r="P24" s="1"/>
  <c r="Q24" s="1"/>
  <c r="C28"/>
  <c r="C55"/>
  <c r="P27"/>
  <c r="Q27" s="1"/>
  <c r="N57" s="1"/>
  <c r="C46"/>
  <c r="C54"/>
  <c r="C53"/>
  <c r="C56" s="1"/>
  <c r="O36" s="1"/>
  <c r="P36" s="1"/>
  <c r="Q36" s="1"/>
  <c r="P21"/>
  <c r="Q21" s="1"/>
  <c r="P6"/>
  <c r="Q6" s="1"/>
  <c r="C45"/>
  <c r="O9" s="1"/>
  <c r="P9" s="1"/>
  <c r="Q9" s="1"/>
  <c r="P18"/>
  <c r="Q18" s="1"/>
  <c r="U44" i="5" l="1"/>
  <c r="W17"/>
  <c r="W46"/>
  <c r="W30"/>
  <c r="W44"/>
  <c r="U36"/>
  <c r="U14"/>
  <c r="W14"/>
  <c r="W13"/>
  <c r="W7"/>
  <c r="U7"/>
  <c r="T30"/>
  <c r="U30" s="1"/>
  <c r="W22"/>
  <c r="W36"/>
  <c r="U19"/>
  <c r="W19"/>
  <c r="T33"/>
  <c r="W33" s="1"/>
  <c r="T38"/>
  <c r="T17"/>
  <c r="U17" s="1"/>
  <c r="T20"/>
  <c r="U20" s="1"/>
  <c r="T39"/>
  <c r="W39" s="1"/>
  <c r="T29"/>
  <c r="T6"/>
  <c r="T32"/>
  <c r="T12"/>
  <c r="T35"/>
  <c r="T16"/>
  <c r="T11"/>
  <c r="U11" s="1"/>
  <c r="T31"/>
  <c r="W31" s="1"/>
  <c r="T18"/>
  <c r="W18" s="1"/>
  <c r="T37"/>
  <c r="U37" s="1"/>
  <c r="T15"/>
  <c r="U15" s="1"/>
  <c r="T34"/>
  <c r="U34" s="1"/>
  <c r="T28"/>
  <c r="U28" s="1"/>
  <c r="T5"/>
  <c r="O33" i="4"/>
  <c r="P33" s="1"/>
  <c r="Q33" s="1"/>
  <c r="N62" s="1"/>
  <c r="O15"/>
  <c r="P15" s="1"/>
  <c r="Q15" s="1"/>
  <c r="N59" s="1"/>
  <c r="C57"/>
  <c r="O39" s="1"/>
  <c r="P39" s="1"/>
  <c r="Q39" s="1"/>
  <c r="O12"/>
  <c r="P12" s="1"/>
  <c r="Q12" s="1"/>
  <c r="W28" i="5" l="1"/>
  <c r="W37"/>
  <c r="W11"/>
  <c r="W5"/>
  <c r="W15"/>
  <c r="U5"/>
  <c r="U39"/>
  <c r="U33"/>
  <c r="W34"/>
  <c r="U31"/>
  <c r="U18"/>
  <c r="W20"/>
  <c r="U6"/>
  <c r="W6"/>
  <c r="U32"/>
  <c r="W32"/>
  <c r="U16"/>
  <c r="W16"/>
  <c r="U12"/>
  <c r="W12"/>
  <c r="U35"/>
  <c r="W35"/>
  <c r="U29"/>
  <c r="W29"/>
  <c r="U38"/>
  <c r="W38"/>
  <c r="F56" i="1"/>
  <c r="F50" l="1"/>
  <c r="F51"/>
  <c r="F49"/>
  <c r="F47"/>
  <c r="F46"/>
  <c r="F45"/>
  <c r="F42"/>
  <c r="F41"/>
  <c r="F33"/>
  <c r="F34"/>
  <c r="F35"/>
  <c r="F36"/>
  <c r="F37"/>
  <c r="F26"/>
  <c r="F27"/>
  <c r="F28"/>
  <c r="F25"/>
  <c r="F30" l="1"/>
  <c r="F32" s="1"/>
  <c r="F38" s="1"/>
  <c r="F52"/>
  <c r="F54" s="1"/>
  <c r="F57" s="1"/>
  <c r="F43"/>
</calcChain>
</file>

<file path=xl/sharedStrings.xml><?xml version="1.0" encoding="utf-8"?>
<sst xmlns="http://schemas.openxmlformats.org/spreadsheetml/2006/main" count="817" uniqueCount="398">
  <si>
    <t>PAGO EFECTIVO E.G.</t>
  </si>
  <si>
    <t>PAGO EFECTIVO W.V.</t>
  </si>
  <si>
    <t>PAREJA BUJES</t>
  </si>
  <si>
    <t>BUJES AC 3/8" SCH40 X 65mm</t>
  </si>
  <si>
    <t>DOBLECES DE 100 PC</t>
  </si>
  <si>
    <t>ARREGLO CENTRO 100 PC</t>
  </si>
  <si>
    <t>TORNILLOS 16,5cm</t>
  </si>
  <si>
    <t>TORNILLOS 10,5cm</t>
  </si>
  <si>
    <t>TEMPLE TORNILLOS 10,5cm y 16,5cm</t>
  </si>
  <si>
    <t>FECHA</t>
  </si>
  <si>
    <t>CANT.</t>
  </si>
  <si>
    <t>DESCRIPCION</t>
  </si>
  <si>
    <t>VLR. UNIT.</t>
  </si>
  <si>
    <t>VLR. TOTAL</t>
  </si>
  <si>
    <t>PAGO</t>
  </si>
  <si>
    <t>ABONO PARA 200 JUEGOS</t>
  </si>
  <si>
    <t>JUEGOS COPA LOCA entregados</t>
  </si>
  <si>
    <t>PASADOR 70x19mm CON GRASERA</t>
  </si>
  <si>
    <t>PASADOR 100x19mm CON GRASERA</t>
  </si>
  <si>
    <t>PASADOR 100x19mm SIN GRASERA</t>
  </si>
  <si>
    <t>SALDO A FAVOR ENRIQUE</t>
  </si>
  <si>
    <t>PASADOR 70x20mm CON GRASERA</t>
  </si>
  <si>
    <t>PASADOR 100x20mm CON GRASERA</t>
  </si>
  <si>
    <t>DEBE ENRIQUE</t>
  </si>
  <si>
    <t>BUJES 1"1/8 X 50mm</t>
  </si>
  <si>
    <t>BUJES 1"1/8 X 51mm</t>
  </si>
  <si>
    <t>BUJES 1"1/8 X 60mm</t>
  </si>
  <si>
    <t>PAREJA BUJES 18mm MAS LARGOS (PRUEBA)</t>
  </si>
  <si>
    <t>SALDO</t>
  </si>
  <si>
    <t>ABONO EFECTIVO E.G. 23/11/2021</t>
  </si>
  <si>
    <t>P1</t>
  </si>
  <si>
    <t>P2</t>
  </si>
  <si>
    <t>SAE 1045 RDO 20mm</t>
  </si>
  <si>
    <t>SAE 1045 RDO 19mm</t>
  </si>
  <si>
    <t>1518 PERF. 40x30</t>
  </si>
  <si>
    <t>ACEFER</t>
  </si>
  <si>
    <t>REYCLO</t>
  </si>
  <si>
    <t>70x19 (110mm)</t>
  </si>
  <si>
    <t>100x19 (150mm)</t>
  </si>
  <si>
    <t>BARRA 6m</t>
  </si>
  <si>
    <t>88x18 (128mm)</t>
  </si>
  <si>
    <t>110x18 (160mm)</t>
  </si>
  <si>
    <t>52 PC</t>
  </si>
  <si>
    <t>38 PC</t>
  </si>
  <si>
    <t>44 PC</t>
  </si>
  <si>
    <t>36 PC</t>
  </si>
  <si>
    <t>1045 RDO. 20mm</t>
  </si>
  <si>
    <t>1045 RDO. 18mm (17,9mm)</t>
  </si>
  <si>
    <t>1045 RDO. 19mm (3/4")</t>
  </si>
  <si>
    <t>VALOR m</t>
  </si>
  <si>
    <t>PRECIO PARA 70x19</t>
  </si>
  <si>
    <t>PRECIO PARA 100x19</t>
  </si>
  <si>
    <t>PRECIO PARA 70x20</t>
  </si>
  <si>
    <t>PRECIO PARA 100x20</t>
  </si>
  <si>
    <t>1045 RDO. 17,9mm</t>
  </si>
  <si>
    <t>MATERIAL</t>
  </si>
  <si>
    <t>T MAQUINA</t>
  </si>
  <si>
    <t>ABONO EFECTIVO W.V. 13/12/2021</t>
  </si>
  <si>
    <t>B1</t>
  </si>
  <si>
    <t>B2</t>
  </si>
  <si>
    <t>BUJE GRANDE PAREJA 70MM</t>
  </si>
  <si>
    <t>BUJE GRANDE PAREJA 88MM</t>
  </si>
  <si>
    <t>1518 40x28mm</t>
  </si>
  <si>
    <t>BARRA PERFORADA</t>
  </si>
  <si>
    <t>53mm</t>
  </si>
  <si>
    <t>63mm</t>
  </si>
  <si>
    <t>44mm</t>
  </si>
  <si>
    <t>54mm</t>
  </si>
  <si>
    <t>1,1 m</t>
  </si>
  <si>
    <t>19 PC</t>
  </si>
  <si>
    <t>16 PC</t>
  </si>
  <si>
    <t>22 PC</t>
  </si>
  <si>
    <t>18 PC</t>
  </si>
  <si>
    <t>PRECIO PARA 44mm</t>
  </si>
  <si>
    <t>PRECIO PARA 54mm</t>
  </si>
  <si>
    <t>PRECIO PARA 53mm</t>
  </si>
  <si>
    <t>PRECIO PARA 63mm</t>
  </si>
  <si>
    <t>PRECIO PAREJA 70mm</t>
  </si>
  <si>
    <t>PRECIO PAREJA 88mm</t>
  </si>
  <si>
    <t>PRECIO PARA 110x19</t>
  </si>
  <si>
    <t>PRECIO TOTAL</t>
  </si>
  <si>
    <t>ADICION</t>
  </si>
  <si>
    <t>T TOTAL</t>
  </si>
  <si>
    <t>T EN $</t>
  </si>
  <si>
    <t>110x19 (160mm)</t>
  </si>
  <si>
    <t>88x18 (138mm)</t>
  </si>
  <si>
    <t>PRECIO PARA 88x18 (128mm)</t>
  </si>
  <si>
    <t>PRECIO PARA 110x18 (160mm)</t>
  </si>
  <si>
    <t>PRECIO PARA 88x18 (138mm)</t>
  </si>
  <si>
    <t>42 PC</t>
  </si>
  <si>
    <t>PASADOR 70x19 (110mm) CON GRASERA</t>
  </si>
  <si>
    <t>PASADOR 100x19 (150mm) CON GRASERA</t>
  </si>
  <si>
    <t>PASADOR 100x19 (150mm) SIN GRASERA</t>
  </si>
  <si>
    <t>PASADOR 70x20 (110mm) CON GRASERA</t>
  </si>
  <si>
    <t>PASADOR 100x20 (150mm) CON GRASERA</t>
  </si>
  <si>
    <t>PASADOR 88x18 (128mm) CON GRASERA</t>
  </si>
  <si>
    <t>PASADOR 88x18 (138mm) CON GRASERA</t>
  </si>
  <si>
    <t>PASADOR 110x18 (160mm) CON GRASERA</t>
  </si>
  <si>
    <t>PASADOR 110x19 (160mm) CON GRASERA</t>
  </si>
  <si>
    <t>PASADOR 110x19 (160mm) SIN GRASERA</t>
  </si>
  <si>
    <t>88 x 18 mm (ROSCA 25mm) CON GRASERA</t>
  </si>
  <si>
    <t>110 X 18 mm (ROSCA 25mm) CON GRASERA</t>
  </si>
  <si>
    <t>110 X 19 mm (ROSCA 25mm) CON GRASERA</t>
  </si>
  <si>
    <t>110 X 18 mm (ROSCA 25mm) SIN GRASERA</t>
  </si>
  <si>
    <t>110 X 19 mm (ROSCA 25mm) SIN GRASERA</t>
  </si>
  <si>
    <t>ABONO EFECTIVO E.G. 28/12/2021</t>
  </si>
  <si>
    <t>PAREJA BUJES 88mm</t>
  </si>
  <si>
    <t>PRUEBA ENTREGADOS 18/11/2021</t>
  </si>
  <si>
    <t>PAREJA BUJES 70mm</t>
  </si>
  <si>
    <t>DOBLECES DE 114 PC</t>
  </si>
  <si>
    <t>ABONO EFECTIVO E.G. 03/02/2022</t>
  </si>
  <si>
    <t>DOBLECES DE 74 PC</t>
  </si>
  <si>
    <t>18mm PUNTA 25</t>
  </si>
  <si>
    <t>19mm PUNTA 30</t>
  </si>
  <si>
    <t>18mm PUNTA 30</t>
  </si>
  <si>
    <t>PASADOR 19x100x30 CON GRASERA</t>
  </si>
  <si>
    <t>LARGO 100 (163mm)</t>
  </si>
  <si>
    <t>LARGO 70 (133mm)</t>
  </si>
  <si>
    <t>LARGO 88 (151mm)</t>
  </si>
  <si>
    <t>LARGO 110 (173mm)</t>
  </si>
  <si>
    <t>PIEZAS POR BARRA</t>
  </si>
  <si>
    <t>LARGO 44 (47mm)</t>
  </si>
  <si>
    <t>LARGO 54 (57mm)</t>
  </si>
  <si>
    <t>LARGO 53 (56mm)</t>
  </si>
  <si>
    <t>LARGO 63 (66mm)</t>
  </si>
  <si>
    <t>PRECIO MATERIAL</t>
  </si>
  <si>
    <t>1045 18mm</t>
  </si>
  <si>
    <t>1045 19mm</t>
  </si>
  <si>
    <t>1045 20mm</t>
  </si>
  <si>
    <t>PRECIO MATERIAL POR PIEZA</t>
  </si>
  <si>
    <t>1.1m</t>
  </si>
  <si>
    <t>BARRA PERF.</t>
  </si>
  <si>
    <t>1045 RDO 20mm</t>
  </si>
  <si>
    <t>1045 RDO 19mm (3/4")</t>
  </si>
  <si>
    <t>1045 RDO 18mm (17,9mm)</t>
  </si>
  <si>
    <t>T en $</t>
  </si>
  <si>
    <t>T P1</t>
  </si>
  <si>
    <t>T P2</t>
  </si>
  <si>
    <t>PASADOR</t>
  </si>
  <si>
    <t>70 X 19</t>
  </si>
  <si>
    <t>70 X 18</t>
  </si>
  <si>
    <t>70 X 20</t>
  </si>
  <si>
    <t>88 X 18</t>
  </si>
  <si>
    <t>88 X 19</t>
  </si>
  <si>
    <t>88 X 20</t>
  </si>
  <si>
    <t>100 X 18</t>
  </si>
  <si>
    <t>100 X 19</t>
  </si>
  <si>
    <t>100 X 20</t>
  </si>
  <si>
    <t>110 X 18</t>
  </si>
  <si>
    <t>110 X 19</t>
  </si>
  <si>
    <t>110 X 20</t>
  </si>
  <si>
    <t>PASADORES CON GRASERA</t>
  </si>
  <si>
    <t>PASADORES SIN GRASERA</t>
  </si>
  <si>
    <t>BUJE 70mm</t>
  </si>
  <si>
    <t>BUJE 88mm</t>
  </si>
  <si>
    <t>T B1</t>
  </si>
  <si>
    <t>T B2</t>
  </si>
  <si>
    <t>PAREJA 88mm</t>
  </si>
  <si>
    <t>PAREJA 70mm</t>
  </si>
  <si>
    <t>BUJES PRECIO POR PAREJA</t>
  </si>
  <si>
    <t>T MAQ.</t>
  </si>
  <si>
    <t>$ TOTAL</t>
  </si>
  <si>
    <t>PASADOR 18x110x25 CON GRASERA</t>
  </si>
  <si>
    <t>* PUNTA 25mm</t>
  </si>
  <si>
    <t>19mm</t>
  </si>
  <si>
    <t>PASADOR 18x88x30 CON GRASERA</t>
  </si>
  <si>
    <t>PASADOR 18x110x30 SIN GRASERA</t>
  </si>
  <si>
    <t>PASADOR 19x110x30 CON GRASERA</t>
  </si>
  <si>
    <t>ABONO EFECTIVO E.G. 15/02/2022</t>
  </si>
  <si>
    <t>ABONO EFECTIVO E.G. 17/02/2022</t>
  </si>
  <si>
    <t>ABONO EFECTIVO E.G. 04/03/2022</t>
  </si>
  <si>
    <t>ABONO EFECTIVO E.G. 23/03/2022</t>
  </si>
  <si>
    <t>ABONO EFECTIVO E.G. 20/04/2022</t>
  </si>
  <si>
    <t>PAREJA 80mm</t>
  </si>
  <si>
    <t>LARGO 49 (52mm)</t>
  </si>
  <si>
    <t>LARGO 59 (62mm)</t>
  </si>
  <si>
    <t>BUJE 80mm</t>
  </si>
  <si>
    <t>1045 RDO 15,875mm (5/8")</t>
  </si>
  <si>
    <t>1045 15,87mm</t>
  </si>
  <si>
    <t>LARGO 80 (143mm)</t>
  </si>
  <si>
    <t>LARGO 86 (149mm)</t>
  </si>
  <si>
    <t>80 x 15,87</t>
  </si>
  <si>
    <t>86 x 18</t>
  </si>
  <si>
    <t>100 x 15,87</t>
  </si>
  <si>
    <t>601 7957500</t>
  </si>
  <si>
    <t>601 2377076</t>
  </si>
  <si>
    <t>TEL</t>
  </si>
  <si>
    <t>41X22</t>
  </si>
  <si>
    <t>45X29</t>
  </si>
  <si>
    <t>40X22</t>
  </si>
  <si>
    <t>3/8"</t>
  </si>
  <si>
    <t>PASADOR 19mm x 70mm</t>
  </si>
  <si>
    <t>barra 54x29</t>
  </si>
  <si>
    <t>PASADOR 19mm x 100mm</t>
  </si>
  <si>
    <t>PASADOR 19mm x 100mm SIN GRASERA</t>
  </si>
  <si>
    <t>BUJE 80mm PAREJA</t>
  </si>
  <si>
    <t>GANANCIA</t>
  </si>
  <si>
    <t>VALOR</t>
  </si>
  <si>
    <t>TOTAL</t>
  </si>
  <si>
    <t>40X25</t>
  </si>
  <si>
    <t>BUJE 86MM ROSCA DOBLE</t>
  </si>
  <si>
    <t>LARGO 86 (89mm)</t>
  </si>
  <si>
    <t>BUJE DOBLE ROSCA 86x18</t>
  </si>
  <si>
    <t>BUJE</t>
  </si>
  <si>
    <t>PASADOR 19X70 CON GRASERA</t>
  </si>
  <si>
    <t>PASADOR 18x86 CON GRASERA</t>
  </si>
  <si>
    <t>PASADOR 5/8" x 80mm</t>
  </si>
  <si>
    <t>PASADOR 5/8" x 100mm</t>
  </si>
  <si>
    <t>ABONO EFECTIVO W.V. 11/05/2022</t>
  </si>
  <si>
    <t>RDO 1045 1" 3/8</t>
  </si>
  <si>
    <t>RDO 1020 1" 1/4</t>
  </si>
  <si>
    <t>1518 40x25</t>
  </si>
  <si>
    <t>HEXAGONO</t>
  </si>
  <si>
    <t>COPA</t>
  </si>
  <si>
    <t>MEDIDA PROF</t>
  </si>
  <si>
    <t>CADA M</t>
  </si>
  <si>
    <t>T1 TORNO</t>
  </si>
  <si>
    <t>T2 LW</t>
  </si>
  <si>
    <t>T3 LW</t>
  </si>
  <si>
    <t>ABONO EFECTIVO J.C. 13/05/2022</t>
  </si>
  <si>
    <t>PASADOR 5/8 x 100</t>
  </si>
  <si>
    <t>PASADOR 5/8 x 80</t>
  </si>
  <si>
    <t>PASADOR 19 x 100 SIN GRASERA</t>
  </si>
  <si>
    <t>PASADOR 19 x 100 CON GRASERA</t>
  </si>
  <si>
    <t>MOLDE J.C. 13/05/22</t>
  </si>
  <si>
    <t>MOLDE W.V. 27/05/22</t>
  </si>
  <si>
    <t>PAREJA BUJE 80mm</t>
  </si>
  <si>
    <t>MOLDE W.V. 29/06/22</t>
  </si>
  <si>
    <t>ABONO EFECTIVO W.V. 02/08/2022</t>
  </si>
  <si>
    <t>ABONO EFECTIVO E.G.. 08/08/2022</t>
  </si>
  <si>
    <t>PASADOR 19 x 70 CON GRASERA</t>
  </si>
  <si>
    <t>LLAVE HEXAGONO (221)</t>
  </si>
  <si>
    <t>PAREJA BUJE 70mm</t>
  </si>
  <si>
    <t>DOBLECES DE 30 PC</t>
  </si>
  <si>
    <t>ABONO EFECTIVO E.G.. 30/08/2022</t>
  </si>
  <si>
    <t>DOBLECES DE 150 PC</t>
  </si>
  <si>
    <t>ABONO EFECTIVO W.V. 05/09/2022</t>
  </si>
  <si>
    <t>ABONO EFECTIVO E.G.. 13/09/2022</t>
  </si>
  <si>
    <t>BUJE 2" 12L14</t>
  </si>
  <si>
    <t>12L14 2" RDO</t>
  </si>
  <si>
    <t>12L14</t>
  </si>
  <si>
    <t>LARGO 10 (13mm)</t>
  </si>
  <si>
    <t>BUJE 2"x19,1 x 10mm</t>
  </si>
  <si>
    <t>ABONO EFECTIVO E.G.. 25/10/2022</t>
  </si>
  <si>
    <t>RECTIFICADA DISCO</t>
  </si>
  <si>
    <t>ABONO EFECTIVO E.G.. 31/10/2022</t>
  </si>
  <si>
    <t>1045 RDO 28.575mm (1 1/8")</t>
  </si>
  <si>
    <t>60mm</t>
  </si>
  <si>
    <t>50mm</t>
  </si>
  <si>
    <t>TORNO</t>
  </si>
  <si>
    <t>CENTRO</t>
  </si>
  <si>
    <t>BUJES 1"1/8 X 50mm CENTRICO</t>
  </si>
  <si>
    <t>BUJES 1"1/8 X 50mm NO CENTRICO</t>
  </si>
  <si>
    <t>BUJES 17.9mm X 60mm</t>
  </si>
  <si>
    <t>20500 + IVA</t>
  </si>
  <si>
    <t>ABONO EFECTIVO E.G.. 22/11/2022</t>
  </si>
  <si>
    <t>J 10</t>
  </si>
  <si>
    <t>J 9</t>
  </si>
  <si>
    <t>J 7 - 8</t>
  </si>
  <si>
    <t>J 5 - 6</t>
  </si>
  <si>
    <t>J 3 - 4</t>
  </si>
  <si>
    <t>J 1 - 2</t>
  </si>
  <si>
    <t>ABONO EFECTIVO J.C. 31/01/2023</t>
  </si>
  <si>
    <t>J 11</t>
  </si>
  <si>
    <t>13mm POR CADA BUJE + 50mm AGARRE STARRET SINFIN</t>
  </si>
  <si>
    <t>INFLACION 2023</t>
  </si>
  <si>
    <t>MATERIAL 1518 40X30 1070mm SALEN 10 PAREJAS</t>
  </si>
  <si>
    <t>DOBLECES DE 40 PC</t>
  </si>
  <si>
    <t>DOBLECES DE 148 PC</t>
  </si>
  <si>
    <t>J12</t>
  </si>
  <si>
    <t>ABONO EFECTIVO W.V. 21/12/2022</t>
  </si>
  <si>
    <t>ABONO E.G. 28/02/2023</t>
  </si>
  <si>
    <t>ABONO E.G. 07/03/2023</t>
  </si>
  <si>
    <t>ABONO E.G. 10/05/2023</t>
  </si>
  <si>
    <t>J13</t>
  </si>
  <si>
    <t>BUJES ROSCADOS PARA GUAYA</t>
  </si>
  <si>
    <t xml:space="preserve">MATERIAL 6m </t>
  </si>
  <si>
    <t>PC</t>
  </si>
  <si>
    <t>BUJE AMORTIGUADOR</t>
  </si>
  <si>
    <t>MATERIAL 1m</t>
  </si>
  <si>
    <t>BUJES AMORTIGUADORES</t>
  </si>
  <si>
    <t>DISPOSITIVO SOLDAR BUJES AMORTIGUADOR</t>
  </si>
  <si>
    <t>BUJE 60x54.5 D X 15mm</t>
  </si>
  <si>
    <t>BUJE 60x55.3 D X 10mm</t>
  </si>
  <si>
    <t>BUJE 14.3x10 D X 25.5mm</t>
  </si>
  <si>
    <t>J14</t>
  </si>
  <si>
    <t>MUESTRA BUJES AMORTIGUADORES (DICIEMBRE)</t>
  </si>
  <si>
    <t>J15</t>
  </si>
  <si>
    <t>ABONO E.G. 22/06/2023</t>
  </si>
  <si>
    <t>TRABAJO REALIZADO POR J.C.</t>
  </si>
  <si>
    <t>$237.000 / 2 = $118.500</t>
  </si>
  <si>
    <t>PAGADO 23/06/2023</t>
  </si>
  <si>
    <t>ABONO INGLES. 13/07/2023</t>
  </si>
  <si>
    <t>BUJES (31.65*26.55 D) x 48mm</t>
  </si>
  <si>
    <t>ACERO AL CARBON</t>
  </si>
  <si>
    <t>1" SCH 40 (33,40mm 3,378 pared)</t>
  </si>
  <si>
    <t>BUJE (31.65*26.55 D) x 48mm</t>
  </si>
  <si>
    <t>ABONO INGLES. 21/07/2023</t>
  </si>
  <si>
    <t>BUJES 1"1/8x14 D X 60mm</t>
  </si>
  <si>
    <t>BUJES 1"1/8x14 D X 60mm (ARANDELA)</t>
  </si>
  <si>
    <t>DOBLECES DE 40 PLATINAS</t>
  </si>
  <si>
    <t>BUJES (21.5*14 D) x 48mm</t>
  </si>
  <si>
    <t>1045 RDO 7/8" 22,225mm</t>
  </si>
  <si>
    <t>BUJE (21.5*14 D) x 48mm</t>
  </si>
  <si>
    <t>DOBLECES DE 148 PLATINAS</t>
  </si>
  <si>
    <t>ABONO INGLES. 15/08/2023</t>
  </si>
  <si>
    <t>BUJES HIDROBOSTER ROSCA 10mm</t>
  </si>
  <si>
    <t>J16</t>
  </si>
  <si>
    <t>J17</t>
  </si>
  <si>
    <t>ABONO E.G. 13/10/2023</t>
  </si>
  <si>
    <t>J18</t>
  </si>
  <si>
    <t>CORBATIN CORTO</t>
  </si>
  <si>
    <t>CORBATIN LARGO</t>
  </si>
  <si>
    <t>CORBATIN 105mm</t>
  </si>
  <si>
    <t>CORBATIN 85mm</t>
  </si>
  <si>
    <t>BASE HEX</t>
  </si>
  <si>
    <t>LLAVE</t>
  </si>
  <si>
    <t>T TORNO</t>
  </si>
  <si>
    <t>T BASE HEX</t>
  </si>
  <si>
    <t>T LLAVE</t>
  </si>
  <si>
    <t>TORNILLO 105</t>
  </si>
  <si>
    <t>TORNILLO 165</t>
  </si>
  <si>
    <t>1045 RDO 1/2"</t>
  </si>
  <si>
    <t>J19</t>
  </si>
  <si>
    <t>J20 / J21</t>
  </si>
  <si>
    <t>ABONO EFECTIVO</t>
  </si>
  <si>
    <t>BUJE CASTER</t>
  </si>
  <si>
    <t>BUJE TENSOR TRASERO TOYOTA</t>
  </si>
  <si>
    <t>PEDIR TRAMOS DE 1090mm PARA 20pc</t>
  </si>
  <si>
    <t>PEDIR TRAMOS DE 1290mm PARA 20pc</t>
  </si>
  <si>
    <t>T en $ / $80 HORA</t>
  </si>
  <si>
    <t>BUJES 1"1/8 X 60mm CON ARANDELA</t>
  </si>
  <si>
    <t>ABONO E.G. 26/01/2024</t>
  </si>
  <si>
    <t>MEDIDA + 3mm CORTE</t>
  </si>
  <si>
    <t>MACHO ROSCA</t>
  </si>
  <si>
    <t>PEDIR TRAMOS DE 1100mm PARA 20pc</t>
  </si>
  <si>
    <t>PEDIR TRAMOS DE 1300mm PARA 20pc</t>
  </si>
  <si>
    <t>TRAMOS DE 1100 PARA SACAR</t>
  </si>
  <si>
    <t>13 PAREJA MACHO/HEX</t>
  </si>
  <si>
    <t>TRAMO DE 1090 PARA 26 COPAS</t>
  </si>
  <si>
    <t>REDONDO 12.7mm (1/2") SAE 1045 CALIBRADO</t>
  </si>
  <si>
    <t>REDONDO 28.575mm (1" 1/8) SAE 1045 CALIBRADO</t>
  </si>
  <si>
    <t>REDONDO 31.75mm (1" 1/4) SAE 1045 CALIBRADO</t>
  </si>
  <si>
    <t>BARRA PERFORADA 1518 40mm x 24mm</t>
  </si>
  <si>
    <t>BARBOSA</t>
  </si>
  <si>
    <t>REDONDO 15.875mm (5/8") SAE 1045 CALIBRADO</t>
  </si>
  <si>
    <t>REDONDO 18mm (17.9mm) SAE 1045 CALIBRADO</t>
  </si>
  <si>
    <t>REDONDO 19mm (3/4") SAE 1045 CALIBRADO</t>
  </si>
  <si>
    <t>REDONDO 20mm SAE 1045 CALIBRADO</t>
  </si>
  <si>
    <t>REDONDO 22.225mm (7/8") SAE 1045 CALIBRADO</t>
  </si>
  <si>
    <t>REDONDO 50.8mm (2") 12L14 CALIBRADO</t>
  </si>
  <si>
    <t>SEGUROS LLANTA DE REPUESTO</t>
  </si>
  <si>
    <t xml:space="preserve">JUEGOS COPA LOCA </t>
  </si>
  <si>
    <t>DESCRIPCION ENRIQUE</t>
  </si>
  <si>
    <t>DESCRIPCION METALTRONICOS</t>
  </si>
  <si>
    <t>TRAMO DE 1100 PARA 26 COPAS</t>
  </si>
  <si>
    <t>PEDIDO MATERIAL</t>
  </si>
  <si>
    <t>TORNILLO 105mm X 1/2"</t>
  </si>
  <si>
    <t>TORNILLO 165mm X 1/2"</t>
  </si>
  <si>
    <t>TORNILLO 195mm X 1/2"</t>
  </si>
  <si>
    <t>TORNILLO 10,5</t>
  </si>
  <si>
    <t>TORNILLO 16,5</t>
  </si>
  <si>
    <t>TORNILLO 19,5</t>
  </si>
  <si>
    <t>PIEZAS x m</t>
  </si>
  <si>
    <t>PEDIR TRAMOS DE 1060mm PARA 20pc</t>
  </si>
  <si>
    <t>PEDIR TRAMOS DE 1260mm PARA 20pc</t>
  </si>
  <si>
    <t>J1 / J2 / J3</t>
  </si>
  <si>
    <t>ABONO EFECTIVO W.V.</t>
  </si>
  <si>
    <t>TORNILLO PISAVIDRIO</t>
  </si>
  <si>
    <t>J4</t>
  </si>
  <si>
    <t>PASADOR 18 x 110 CON GRASERA</t>
  </si>
  <si>
    <t>PASADOR 18 x 88 CON GRASERA</t>
  </si>
  <si>
    <t>BUJES 1" X 50mm HUECO 16mm</t>
  </si>
  <si>
    <t>BUJES 1" X 50mm HUECO 18mm</t>
  </si>
  <si>
    <t xml:space="preserve">J5 </t>
  </si>
  <si>
    <t>ABONO EFECTIVO E.G.</t>
  </si>
  <si>
    <t>BUJE 3/4" x 38mm HUECO 12mm</t>
  </si>
  <si>
    <t>HEXAGONO ROSCA 42mm 6 HUECOS</t>
  </si>
  <si>
    <t>BUJES ROSCADOS 40mm PARA GUAYA</t>
  </si>
  <si>
    <t>J6</t>
  </si>
  <si>
    <t>PASADOR HILUX CORTO</t>
  </si>
  <si>
    <t>PASADOR HILUX LARGO</t>
  </si>
  <si>
    <t>PASADOR 18 X 110 SIN GRASERA</t>
  </si>
  <si>
    <t>PASADOR 20 x 70 CON GRASERA</t>
  </si>
  <si>
    <t>PASADOR 20 x 100 CON GRASERA</t>
  </si>
  <si>
    <t>ABONO EFECTIVO J.C.</t>
  </si>
  <si>
    <t>DOBLECES DE 120 PLATINAS</t>
  </si>
  <si>
    <t>BARRA PERFORADA 40x25</t>
  </si>
  <si>
    <t>ROTULAS COMPLETAS</t>
  </si>
  <si>
    <t>SEGUROS JEEP (2 JUEGOS)</t>
  </si>
  <si>
    <t>PROTOTIPO SOLDADO</t>
  </si>
  <si>
    <t>PROTOTIPO SIN SOLDAR PRECIO NORMAL $40</t>
  </si>
  <si>
    <t>PRECIO NORMAL $30</t>
  </si>
  <si>
    <t>ROTULAS COMPLETAS SIN SOLDAR</t>
  </si>
  <si>
    <t>J7</t>
  </si>
  <si>
    <t>J8 / J9</t>
  </si>
  <si>
    <t>COPA HEMBRA HEXAGONAL M7 SEGURO</t>
  </si>
  <si>
    <t>J10</t>
  </si>
</sst>
</file>

<file path=xl/styles.xml><?xml version="1.0" encoding="utf-8"?>
<styleSheet xmlns="http://schemas.openxmlformats.org/spreadsheetml/2006/main">
  <numFmts count="5">
    <numFmt numFmtId="6" formatCode="&quot;$&quot;\ #,##0;[Red]\-&quot;$&quot;\ #,##0"/>
    <numFmt numFmtId="164" formatCode="&quot;$&quot;\ #,##0_);[Red]\(&quot;$&quot;\ #,##0\)"/>
    <numFmt numFmtId="165" formatCode="&quot;$&quot;\ #,##0"/>
    <numFmt numFmtId="166" formatCode="&quot;$&quot;\ #,##0;[Red]&quot;$&quot;\ #,##0"/>
    <numFmt numFmtId="167" formatCode="&quot;$&quot;#,##0;[Red]&quot;$&quot;#,##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26">
    <xf numFmtId="0" fontId="0" fillId="0" borderId="0" xfId="0"/>
    <xf numFmtId="0" fontId="20" fillId="0" borderId="0" xfId="0" applyFont="1" applyAlignment="1">
      <alignment horizontal="center"/>
    </xf>
    <xf numFmtId="0" fontId="19" fillId="0" borderId="0" xfId="0" applyFont="1"/>
    <xf numFmtId="14" fontId="19" fillId="0" borderId="0" xfId="0" applyNumberFormat="1" applyFont="1"/>
    <xf numFmtId="164" fontId="19" fillId="0" borderId="0" xfId="0" applyNumberFormat="1" applyFont="1"/>
    <xf numFmtId="0" fontId="19" fillId="0" borderId="0" xfId="0" applyFont="1" applyFill="1"/>
    <xf numFmtId="164" fontId="19" fillId="0" borderId="0" xfId="0" applyNumberFormat="1" applyFont="1" applyFill="1"/>
    <xf numFmtId="164" fontId="19" fillId="0" borderId="0" xfId="0" applyNumberFormat="1" applyFont="1" applyFill="1" applyAlignment="1">
      <alignment horizontal="right"/>
    </xf>
    <xf numFmtId="0" fontId="19" fillId="0" borderId="0" xfId="0" applyFont="1" applyAlignment="1">
      <alignment horizontal="right"/>
    </xf>
    <xf numFmtId="0" fontId="19" fillId="33" borderId="0" xfId="0" applyFont="1" applyFill="1"/>
    <xf numFmtId="164" fontId="21" fillId="33" borderId="0" xfId="0" applyNumberFormat="1" applyFont="1" applyFill="1"/>
    <xf numFmtId="0" fontId="21" fillId="33" borderId="0" xfId="0" applyFont="1" applyFill="1"/>
    <xf numFmtId="0" fontId="19" fillId="0" borderId="10" xfId="0" applyFont="1" applyBorder="1"/>
    <xf numFmtId="0" fontId="19" fillId="0" borderId="10" xfId="0" applyFont="1" applyBorder="1" applyAlignment="1">
      <alignment horizontal="right"/>
    </xf>
    <xf numFmtId="164" fontId="19" fillId="0" borderId="10" xfId="0" applyNumberFormat="1" applyFont="1" applyBorder="1"/>
    <xf numFmtId="164" fontId="21" fillId="34" borderId="0" xfId="0" applyNumberFormat="1" applyFont="1" applyFill="1"/>
    <xf numFmtId="14" fontId="21" fillId="34" borderId="0" xfId="0" applyNumberFormat="1" applyFont="1" applyFill="1"/>
    <xf numFmtId="0" fontId="21" fillId="34" borderId="0" xfId="0" applyFont="1" applyFill="1"/>
    <xf numFmtId="0" fontId="19" fillId="34" borderId="0" xfId="0" applyFont="1" applyFill="1"/>
    <xf numFmtId="164" fontId="19" fillId="34" borderId="0" xfId="0" applyNumberFormat="1" applyFont="1" applyFill="1"/>
    <xf numFmtId="20" fontId="19" fillId="0" borderId="0" xfId="0" applyNumberFormat="1" applyFont="1"/>
    <xf numFmtId="165" fontId="19" fillId="0" borderId="0" xfId="0" applyNumberFormat="1" applyFont="1"/>
    <xf numFmtId="0" fontId="22" fillId="0" borderId="0" xfId="0" applyFont="1"/>
    <xf numFmtId="164" fontId="19" fillId="33" borderId="0" xfId="0" applyNumberFormat="1" applyFont="1" applyFill="1"/>
    <xf numFmtId="0" fontId="22" fillId="34" borderId="0" xfId="0" applyFont="1" applyFill="1"/>
    <xf numFmtId="20" fontId="19" fillId="33" borderId="0" xfId="0" applyNumberFormat="1" applyFont="1" applyFill="1"/>
    <xf numFmtId="0" fontId="19" fillId="0" borderId="0" xfId="0" applyFont="1" applyAlignment="1"/>
    <xf numFmtId="0" fontId="19" fillId="0" borderId="0" xfId="0" applyFont="1" applyBorder="1"/>
    <xf numFmtId="0" fontId="19" fillId="0" borderId="15" xfId="0" applyFont="1" applyBorder="1"/>
    <xf numFmtId="164" fontId="19" fillId="0" borderId="0" xfId="0" applyNumberFormat="1" applyFont="1" applyBorder="1"/>
    <xf numFmtId="0" fontId="19" fillId="0" borderId="16" xfId="0" applyFont="1" applyBorder="1"/>
    <xf numFmtId="164" fontId="19" fillId="0" borderId="17" xfId="0" applyNumberFormat="1" applyFont="1" applyBorder="1"/>
    <xf numFmtId="0" fontId="19" fillId="0" borderId="17" xfId="0" applyFont="1" applyBorder="1"/>
    <xf numFmtId="0" fontId="19" fillId="0" borderId="20" xfId="0" applyFont="1" applyBorder="1"/>
    <xf numFmtId="0" fontId="19" fillId="0" borderId="18" xfId="0" applyFont="1" applyBorder="1"/>
    <xf numFmtId="0" fontId="19" fillId="0" borderId="22" xfId="0" applyFont="1" applyBorder="1"/>
    <xf numFmtId="0" fontId="19" fillId="0" borderId="11" xfId="0" applyFont="1" applyBorder="1"/>
    <xf numFmtId="164" fontId="19" fillId="0" borderId="20" xfId="0" applyNumberFormat="1" applyFont="1" applyBorder="1"/>
    <xf numFmtId="164" fontId="19" fillId="0" borderId="18" xfId="0" applyNumberFormat="1" applyFont="1" applyBorder="1"/>
    <xf numFmtId="164" fontId="19" fillId="0" borderId="15" xfId="0" applyNumberFormat="1" applyFont="1" applyBorder="1"/>
    <xf numFmtId="164" fontId="19" fillId="0" borderId="19" xfId="0" applyNumberFormat="1" applyFont="1" applyBorder="1"/>
    <xf numFmtId="0" fontId="19" fillId="0" borderId="24" xfId="0" applyFont="1" applyBorder="1"/>
    <xf numFmtId="0" fontId="19" fillId="0" borderId="25" xfId="0" applyFont="1" applyBorder="1"/>
    <xf numFmtId="0" fontId="19" fillId="0" borderId="26" xfId="0" applyFont="1" applyBorder="1"/>
    <xf numFmtId="0" fontId="19" fillId="0" borderId="27" xfId="0" applyFont="1" applyBorder="1"/>
    <xf numFmtId="0" fontId="19" fillId="0" borderId="28" xfId="0" applyFont="1" applyBorder="1"/>
    <xf numFmtId="0" fontId="19" fillId="0" borderId="29" xfId="0" applyFont="1" applyBorder="1"/>
    <xf numFmtId="0" fontId="19" fillId="0" borderId="30" xfId="0" applyFont="1" applyBorder="1"/>
    <xf numFmtId="0" fontId="19" fillId="0" borderId="31" xfId="0" applyFont="1" applyBorder="1"/>
    <xf numFmtId="0" fontId="19" fillId="0" borderId="32" xfId="0" applyFont="1" applyBorder="1"/>
    <xf numFmtId="164" fontId="19" fillId="0" borderId="20" xfId="0" applyNumberFormat="1" applyFont="1" applyBorder="1" applyProtection="1">
      <protection locked="0"/>
    </xf>
    <xf numFmtId="0" fontId="19" fillId="0" borderId="15" xfId="0" applyFont="1" applyBorder="1" applyProtection="1">
      <protection locked="0"/>
    </xf>
    <xf numFmtId="164" fontId="19" fillId="0" borderId="18" xfId="0" applyNumberFormat="1" applyFont="1" applyBorder="1" applyProtection="1">
      <protection locked="0"/>
    </xf>
    <xf numFmtId="164" fontId="19" fillId="0" borderId="17" xfId="0" applyNumberFormat="1" applyFont="1" applyBorder="1" applyProtection="1">
      <protection locked="0"/>
    </xf>
    <xf numFmtId="0" fontId="21" fillId="0" borderId="0" xfId="0" applyFont="1" applyBorder="1" applyAlignment="1">
      <alignment horizontal="center"/>
    </xf>
    <xf numFmtId="0" fontId="21" fillId="0" borderId="0" xfId="0" applyFont="1"/>
    <xf numFmtId="20" fontId="19" fillId="0" borderId="0" xfId="0" applyNumberFormat="1" applyFont="1" applyFill="1"/>
    <xf numFmtId="165" fontId="19" fillId="0" borderId="0" xfId="0" applyNumberFormat="1" applyFont="1" applyFill="1"/>
    <xf numFmtId="0" fontId="23" fillId="0" borderId="0" xfId="0" applyFont="1" applyFill="1"/>
    <xf numFmtId="20" fontId="19" fillId="34" borderId="0" xfId="0" applyNumberFormat="1" applyFont="1" applyFill="1"/>
    <xf numFmtId="165" fontId="19" fillId="34" borderId="0" xfId="0" applyNumberFormat="1" applyFont="1" applyFill="1"/>
    <xf numFmtId="165" fontId="19" fillId="33" borderId="0" xfId="0" applyNumberFormat="1" applyFont="1" applyFill="1"/>
    <xf numFmtId="0" fontId="19" fillId="0" borderId="33" xfId="0" applyFont="1" applyBorder="1"/>
    <xf numFmtId="0" fontId="19" fillId="0" borderId="34" xfId="0" applyFont="1" applyBorder="1"/>
    <xf numFmtId="164" fontId="19" fillId="0" borderId="35" xfId="0" applyNumberFormat="1" applyFont="1" applyBorder="1"/>
    <xf numFmtId="0" fontId="19" fillId="0" borderId="12" xfId="0" applyFont="1" applyBorder="1"/>
    <xf numFmtId="0" fontId="19" fillId="0" borderId="36" xfId="0" applyFont="1" applyBorder="1"/>
    <xf numFmtId="0" fontId="19" fillId="0" borderId="37" xfId="0" applyFont="1" applyBorder="1"/>
    <xf numFmtId="0" fontId="19" fillId="0" borderId="38" xfId="0" applyFont="1" applyBorder="1"/>
    <xf numFmtId="0" fontId="19" fillId="0" borderId="39" xfId="0" applyFont="1" applyBorder="1"/>
    <xf numFmtId="0" fontId="19" fillId="0" borderId="13" xfId="0" applyFont="1" applyBorder="1"/>
    <xf numFmtId="164" fontId="19" fillId="0" borderId="12" xfId="0" applyNumberFormat="1" applyFont="1" applyBorder="1"/>
    <xf numFmtId="165" fontId="19" fillId="0" borderId="14" xfId="0" applyNumberFormat="1" applyFont="1" applyBorder="1"/>
    <xf numFmtId="165" fontId="19" fillId="0" borderId="20" xfId="0" applyNumberFormat="1" applyFont="1" applyBorder="1"/>
    <xf numFmtId="165" fontId="19" fillId="0" borderId="15" xfId="0" applyNumberFormat="1" applyFont="1" applyBorder="1"/>
    <xf numFmtId="165" fontId="19" fillId="0" borderId="18" xfId="0" applyNumberFormat="1" applyFont="1" applyBorder="1"/>
    <xf numFmtId="0" fontId="0" fillId="0" borderId="0" xfId="0" applyBorder="1" applyAlignment="1">
      <alignment horizontal="center"/>
    </xf>
    <xf numFmtId="164" fontId="19" fillId="0" borderId="0" xfId="0" applyNumberFormat="1" applyFont="1" applyAlignment="1">
      <alignment horizontal="right"/>
    </xf>
    <xf numFmtId="0" fontId="19" fillId="0" borderId="0" xfId="0" applyFont="1"/>
    <xf numFmtId="164" fontId="19" fillId="0" borderId="0" xfId="0" applyNumberFormat="1" applyFont="1"/>
    <xf numFmtId="164" fontId="19" fillId="0" borderId="31" xfId="0" applyNumberFormat="1" applyFont="1" applyBorder="1"/>
    <xf numFmtId="164" fontId="19" fillId="0" borderId="40" xfId="0" applyNumberFormat="1" applyFont="1" applyBorder="1"/>
    <xf numFmtId="0" fontId="19" fillId="0" borderId="22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164" fontId="19" fillId="0" borderId="11" xfId="0" applyNumberFormat="1" applyFont="1" applyBorder="1"/>
    <xf numFmtId="164" fontId="19" fillId="0" borderId="30" xfId="0" applyNumberFormat="1" applyFont="1" applyBorder="1"/>
    <xf numFmtId="164" fontId="19" fillId="0" borderId="32" xfId="0" applyNumberFormat="1" applyFont="1" applyBorder="1"/>
    <xf numFmtId="0" fontId="19" fillId="0" borderId="41" xfId="0" applyFont="1" applyBorder="1"/>
    <xf numFmtId="0" fontId="19" fillId="0" borderId="40" xfId="0" applyFont="1" applyBorder="1"/>
    <xf numFmtId="164" fontId="19" fillId="0" borderId="34" xfId="0" applyNumberFormat="1" applyFont="1" applyBorder="1"/>
    <xf numFmtId="164" fontId="21" fillId="0" borderId="0" xfId="0" applyNumberFormat="1" applyFont="1" applyFill="1"/>
    <xf numFmtId="1" fontId="19" fillId="0" borderId="0" xfId="0" applyNumberFormat="1" applyFont="1"/>
    <xf numFmtId="166" fontId="19" fillId="0" borderId="0" xfId="0" applyNumberFormat="1" applyFont="1"/>
    <xf numFmtId="14" fontId="21" fillId="33" borderId="0" xfId="0" applyNumberFormat="1" applyFont="1" applyFill="1"/>
    <xf numFmtId="0" fontId="19" fillId="0" borderId="0" xfId="0" applyFont="1" applyFill="1" applyAlignment="1"/>
    <xf numFmtId="165" fontId="19" fillId="0" borderId="0" xfId="0" applyNumberFormat="1" applyFont="1" applyFill="1" applyAlignment="1"/>
    <xf numFmtId="0" fontId="19" fillId="35" borderId="0" xfId="0" applyFont="1" applyFill="1"/>
    <xf numFmtId="165" fontId="19" fillId="0" borderId="0" xfId="0" applyNumberFormat="1" applyFont="1" applyBorder="1"/>
    <xf numFmtId="0" fontId="19" fillId="0" borderId="0" xfId="0" applyFont="1" applyFill="1" applyAlignment="1"/>
    <xf numFmtId="0" fontId="19" fillId="36" borderId="0" xfId="0" applyFont="1" applyFill="1"/>
    <xf numFmtId="0" fontId="19" fillId="0" borderId="0" xfId="0" applyFont="1" applyAlignment="1"/>
    <xf numFmtId="0" fontId="19" fillId="0" borderId="0" xfId="0" applyFont="1" applyFill="1" applyAlignment="1"/>
    <xf numFmtId="0" fontId="19" fillId="0" borderId="0" xfId="0" applyFont="1" applyAlignment="1"/>
    <xf numFmtId="0" fontId="19" fillId="37" borderId="0" xfId="0" applyFont="1" applyFill="1"/>
    <xf numFmtId="166" fontId="19" fillId="0" borderId="0" xfId="0" applyNumberFormat="1" applyFont="1" applyFill="1"/>
    <xf numFmtId="17" fontId="19" fillId="0" borderId="0" xfId="0" applyNumberFormat="1" applyFont="1"/>
    <xf numFmtId="14" fontId="19" fillId="0" borderId="0" xfId="0" applyNumberFormat="1" applyFont="1" applyFill="1"/>
    <xf numFmtId="166" fontId="21" fillId="33" borderId="0" xfId="0" applyNumberFormat="1" applyFont="1" applyFill="1"/>
    <xf numFmtId="167" fontId="19" fillId="0" borderId="0" xfId="0" applyNumberFormat="1" applyFont="1"/>
    <xf numFmtId="166" fontId="19" fillId="33" borderId="0" xfId="0" applyNumberFormat="1" applyFont="1" applyFill="1"/>
    <xf numFmtId="167" fontId="21" fillId="33" borderId="0" xfId="0" applyNumberFormat="1" applyFont="1" applyFill="1"/>
    <xf numFmtId="6" fontId="19" fillId="0" borderId="0" xfId="0" applyNumberFormat="1" applyFont="1"/>
    <xf numFmtId="167" fontId="19" fillId="0" borderId="0" xfId="0" applyNumberFormat="1" applyFont="1" applyFill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9" fillId="0" borderId="0" xfId="0" applyFont="1" applyFill="1" applyAlignment="1"/>
    <xf numFmtId="0" fontId="21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21" fillId="0" borderId="23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33" borderId="0" xfId="0" applyFont="1" applyFill="1" applyAlignment="1"/>
    <xf numFmtId="0" fontId="19" fillId="0" borderId="0" xfId="0" applyFont="1" applyAlignmen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S257"/>
  <sheetViews>
    <sheetView tabSelected="1" topLeftCell="A227" workbookViewId="0">
      <selection activeCell="E260" sqref="E260"/>
    </sheetView>
  </sheetViews>
  <sheetFormatPr baseColWidth="10" defaultRowHeight="12"/>
  <cols>
    <col min="1" max="1" width="11.42578125" style="2"/>
    <col min="2" max="2" width="9.28515625" style="2" bestFit="1" customWidth="1"/>
    <col min="3" max="3" width="5.28515625" style="2" bestFit="1" customWidth="1"/>
    <col min="4" max="4" width="24.7109375" style="2" customWidth="1"/>
    <col min="5" max="5" width="25.42578125" style="2" bestFit="1" customWidth="1"/>
    <col min="6" max="6" width="10.28515625" style="2" bestFit="1" customWidth="1"/>
    <col min="7" max="7" width="9.7109375" style="2" bestFit="1" customWidth="1"/>
    <col min="8" max="8" width="12.140625" style="2" customWidth="1"/>
    <col min="9" max="16384" width="11.42578125" style="2"/>
  </cols>
  <sheetData>
    <row r="5" spans="2:8" ht="12.75"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13" t="s">
        <v>14</v>
      </c>
      <c r="H5" s="113"/>
    </row>
    <row r="6" spans="2:8">
      <c r="B6" s="3">
        <v>44425</v>
      </c>
      <c r="F6" s="4">
        <v>-2000000</v>
      </c>
      <c r="H6" s="2" t="s">
        <v>15</v>
      </c>
    </row>
    <row r="7" spans="2:8">
      <c r="B7" s="3">
        <v>44433</v>
      </c>
      <c r="C7" s="2">
        <v>10</v>
      </c>
      <c r="D7" s="2" t="s">
        <v>16</v>
      </c>
      <c r="E7" s="4">
        <v>61700</v>
      </c>
      <c r="F7" s="4">
        <v>617000</v>
      </c>
    </row>
    <row r="8" spans="2:8">
      <c r="B8" s="3">
        <v>44433</v>
      </c>
      <c r="F8" s="4">
        <v>-617000</v>
      </c>
      <c r="G8" s="3">
        <v>44433</v>
      </c>
      <c r="H8" s="2" t="s">
        <v>0</v>
      </c>
    </row>
    <row r="9" spans="2:8">
      <c r="B9" s="3">
        <v>44440</v>
      </c>
      <c r="C9" s="2">
        <v>16</v>
      </c>
      <c r="D9" s="2" t="s">
        <v>16</v>
      </c>
      <c r="E9" s="4">
        <v>61700</v>
      </c>
      <c r="F9" s="4">
        <v>987200</v>
      </c>
    </row>
    <row r="10" spans="2:8">
      <c r="B10" s="3">
        <v>44440</v>
      </c>
      <c r="F10" s="4">
        <v>-877000</v>
      </c>
      <c r="G10" s="3">
        <v>44440</v>
      </c>
      <c r="H10" s="2" t="s">
        <v>0</v>
      </c>
    </row>
    <row r="11" spans="2:8">
      <c r="F11" s="4">
        <v>-110200</v>
      </c>
      <c r="G11" s="3">
        <v>44445</v>
      </c>
      <c r="H11" s="2" t="s">
        <v>1</v>
      </c>
    </row>
    <row r="12" spans="2:8">
      <c r="B12" s="3">
        <v>44445</v>
      </c>
      <c r="C12" s="2">
        <v>10</v>
      </c>
      <c r="D12" s="2" t="s">
        <v>16</v>
      </c>
      <c r="E12" s="4">
        <v>61700</v>
      </c>
      <c r="F12" s="4">
        <v>617000</v>
      </c>
    </row>
    <row r="13" spans="2:8">
      <c r="F13" s="4">
        <v>-617000</v>
      </c>
      <c r="G13" s="3">
        <v>44445</v>
      </c>
      <c r="H13" s="2" t="s">
        <v>1</v>
      </c>
    </row>
    <row r="14" spans="2:8">
      <c r="B14" s="3">
        <v>44452</v>
      </c>
      <c r="C14" s="2">
        <v>100</v>
      </c>
      <c r="D14" s="2" t="s">
        <v>2</v>
      </c>
      <c r="E14" s="4">
        <v>18000</v>
      </c>
      <c r="F14" s="4">
        <v>1800000</v>
      </c>
    </row>
    <row r="15" spans="2:8">
      <c r="C15" s="2">
        <v>40</v>
      </c>
      <c r="D15" s="2" t="s">
        <v>3</v>
      </c>
      <c r="E15" s="4">
        <v>4700</v>
      </c>
      <c r="F15" s="4">
        <v>188000</v>
      </c>
    </row>
    <row r="16" spans="2:8">
      <c r="C16" s="2">
        <v>200</v>
      </c>
      <c r="D16" s="2" t="s">
        <v>4</v>
      </c>
      <c r="E16" s="4">
        <v>1800</v>
      </c>
      <c r="F16" s="4">
        <v>360000</v>
      </c>
    </row>
    <row r="17" spans="2:8">
      <c r="D17" s="2" t="s">
        <v>5</v>
      </c>
      <c r="F17" s="4">
        <v>100000</v>
      </c>
    </row>
    <row r="18" spans="2:8">
      <c r="F18" s="4">
        <v>-3000000</v>
      </c>
      <c r="G18" s="3">
        <v>44452</v>
      </c>
      <c r="H18" s="2" t="s">
        <v>1</v>
      </c>
    </row>
    <row r="19" spans="2:8">
      <c r="B19" s="3">
        <v>44468</v>
      </c>
      <c r="C19" s="2">
        <v>105</v>
      </c>
      <c r="D19" s="2" t="s">
        <v>6</v>
      </c>
      <c r="E19" s="4">
        <v>5300</v>
      </c>
      <c r="F19" s="4">
        <v>556500</v>
      </c>
      <c r="G19" s="3"/>
    </row>
    <row r="20" spans="2:8">
      <c r="C20" s="2">
        <v>156</v>
      </c>
      <c r="D20" s="2" t="s">
        <v>7</v>
      </c>
      <c r="E20" s="4">
        <v>4800</v>
      </c>
      <c r="F20" s="4">
        <v>748800</v>
      </c>
      <c r="G20" s="3"/>
    </row>
    <row r="21" spans="2:8">
      <c r="D21" s="2" t="s">
        <v>8</v>
      </c>
      <c r="F21" s="4">
        <v>156000</v>
      </c>
      <c r="G21" s="3"/>
    </row>
    <row r="22" spans="2:8">
      <c r="C22" s="2">
        <v>13</v>
      </c>
      <c r="D22" s="2" t="s">
        <v>16</v>
      </c>
      <c r="E22" s="4">
        <v>61700</v>
      </c>
      <c r="F22" s="4">
        <v>802100</v>
      </c>
    </row>
    <row r="23" spans="2:8">
      <c r="F23" s="4">
        <v>-802100</v>
      </c>
      <c r="G23" s="3">
        <v>44468</v>
      </c>
      <c r="H23" s="2" t="s">
        <v>1</v>
      </c>
    </row>
    <row r="24" spans="2:8">
      <c r="F24" s="4">
        <v>-3000000</v>
      </c>
      <c r="G24" s="3">
        <v>44468</v>
      </c>
      <c r="H24" s="2" t="s">
        <v>1</v>
      </c>
    </row>
    <row r="25" spans="2:8">
      <c r="B25" s="3">
        <v>44476</v>
      </c>
      <c r="C25" s="2">
        <v>30</v>
      </c>
      <c r="D25" s="5" t="s">
        <v>17</v>
      </c>
      <c r="E25" s="7">
        <v>13500</v>
      </c>
      <c r="F25" s="6">
        <f>C25*E25</f>
        <v>405000</v>
      </c>
    </row>
    <row r="26" spans="2:8">
      <c r="C26" s="2">
        <v>30</v>
      </c>
      <c r="D26" s="5" t="s">
        <v>18</v>
      </c>
      <c r="E26" s="6">
        <v>15300</v>
      </c>
      <c r="F26" s="6">
        <f t="shared" ref="F26:F28" si="0">C26*E26</f>
        <v>459000</v>
      </c>
    </row>
    <row r="27" spans="2:8">
      <c r="C27" s="2">
        <v>30</v>
      </c>
      <c r="D27" s="5" t="s">
        <v>19</v>
      </c>
      <c r="E27" s="4">
        <v>12800</v>
      </c>
      <c r="F27" s="6">
        <f t="shared" si="0"/>
        <v>384000</v>
      </c>
    </row>
    <row r="28" spans="2:8">
      <c r="C28" s="2">
        <v>20</v>
      </c>
      <c r="D28" s="2" t="s">
        <v>16</v>
      </c>
      <c r="E28" s="4">
        <v>61700</v>
      </c>
      <c r="F28" s="6">
        <f t="shared" si="0"/>
        <v>1234000</v>
      </c>
    </row>
    <row r="29" spans="2:8">
      <c r="F29" s="4">
        <v>-500000</v>
      </c>
      <c r="G29" s="3">
        <v>44476</v>
      </c>
      <c r="H29" s="2" t="s">
        <v>0</v>
      </c>
    </row>
    <row r="30" spans="2:8" ht="12.75" thickBot="1">
      <c r="B30" s="12"/>
      <c r="C30" s="12"/>
      <c r="D30" s="12"/>
      <c r="E30" s="13" t="s">
        <v>20</v>
      </c>
      <c r="F30" s="14">
        <f>SUM(F6:F29)</f>
        <v>-2108700</v>
      </c>
      <c r="G30" s="12"/>
      <c r="H30" s="12"/>
    </row>
    <row r="31" spans="2:8">
      <c r="E31" s="8"/>
      <c r="F31" s="4"/>
    </row>
    <row r="32" spans="2:8">
      <c r="E32" s="8"/>
      <c r="F32" s="4">
        <f>F30</f>
        <v>-2108700</v>
      </c>
    </row>
    <row r="33" spans="1:19">
      <c r="C33" s="2">
        <v>70</v>
      </c>
      <c r="D33" s="5" t="s">
        <v>17</v>
      </c>
      <c r="E33" s="7">
        <v>13500</v>
      </c>
      <c r="F33" s="4">
        <f>C33*E33</f>
        <v>945000</v>
      </c>
    </row>
    <row r="34" spans="1:19">
      <c r="C34" s="2">
        <v>70</v>
      </c>
      <c r="D34" s="5" t="s">
        <v>18</v>
      </c>
      <c r="E34" s="6">
        <v>15300</v>
      </c>
      <c r="F34" s="4">
        <f>C34*E34</f>
        <v>1071000</v>
      </c>
    </row>
    <row r="35" spans="1:19">
      <c r="C35" s="2">
        <v>70</v>
      </c>
      <c r="D35" s="5" t="s">
        <v>19</v>
      </c>
      <c r="E35" s="4">
        <v>12800</v>
      </c>
      <c r="F35" s="4">
        <f>C35*E35</f>
        <v>896000</v>
      </c>
    </row>
    <row r="36" spans="1:19">
      <c r="C36" s="2">
        <v>60</v>
      </c>
      <c r="D36" s="5" t="s">
        <v>21</v>
      </c>
      <c r="E36" s="4">
        <v>14700</v>
      </c>
      <c r="F36" s="4">
        <f>C36*E36</f>
        <v>882000</v>
      </c>
    </row>
    <row r="37" spans="1:19">
      <c r="C37" s="2">
        <v>60</v>
      </c>
      <c r="D37" s="5" t="s">
        <v>22</v>
      </c>
      <c r="E37" s="4">
        <v>16500</v>
      </c>
      <c r="F37" s="4">
        <f>C37*E37</f>
        <v>990000</v>
      </c>
    </row>
    <row r="38" spans="1:19">
      <c r="F38" s="10">
        <f>SUM(F32:F37)</f>
        <v>2675300</v>
      </c>
      <c r="G38" s="11" t="s">
        <v>23</v>
      </c>
      <c r="H38" s="9"/>
    </row>
    <row r="39" spans="1:19" s="18" customFormat="1">
      <c r="F39" s="15">
        <v>2675000</v>
      </c>
      <c r="G39" s="16">
        <v>44488</v>
      </c>
      <c r="H39" s="17" t="s">
        <v>0</v>
      </c>
    </row>
    <row r="41" spans="1:19">
      <c r="B41" s="3">
        <v>44496</v>
      </c>
      <c r="C41" s="2">
        <v>68</v>
      </c>
      <c r="D41" s="2" t="s">
        <v>2</v>
      </c>
      <c r="E41" s="4">
        <v>18600</v>
      </c>
      <c r="F41" s="4">
        <f>C41*E41</f>
        <v>1264800</v>
      </c>
    </row>
    <row r="42" spans="1:19">
      <c r="C42" s="2">
        <v>10</v>
      </c>
      <c r="D42" s="2" t="s">
        <v>16</v>
      </c>
      <c r="E42" s="4">
        <v>61700</v>
      </c>
      <c r="F42" s="4">
        <f>C42*E42</f>
        <v>617000</v>
      </c>
    </row>
    <row r="43" spans="1:19">
      <c r="A43" s="18"/>
      <c r="B43" s="18"/>
      <c r="C43" s="18"/>
      <c r="D43" s="18"/>
      <c r="E43" s="18"/>
      <c r="F43" s="19">
        <f>-SUM(F41:F42)</f>
        <v>-1881800</v>
      </c>
      <c r="G43" s="16">
        <v>44496</v>
      </c>
      <c r="H43" s="17" t="s">
        <v>0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5" spans="1:19">
      <c r="B45" s="3">
        <v>44502</v>
      </c>
      <c r="C45" s="2">
        <v>114</v>
      </c>
      <c r="D45" s="2" t="s">
        <v>24</v>
      </c>
      <c r="E45" s="4">
        <v>7400</v>
      </c>
      <c r="F45" s="4">
        <f>C45*E45</f>
        <v>843600</v>
      </c>
    </row>
    <row r="46" spans="1:19">
      <c r="C46" s="2">
        <v>32</v>
      </c>
      <c r="D46" s="2" t="s">
        <v>25</v>
      </c>
      <c r="E46" s="4">
        <v>7400</v>
      </c>
      <c r="F46" s="4">
        <f>C46*E46</f>
        <v>236800</v>
      </c>
    </row>
    <row r="47" spans="1:19">
      <c r="B47" s="3">
        <v>44518</v>
      </c>
      <c r="C47" s="2">
        <v>10</v>
      </c>
      <c r="D47" s="2" t="s">
        <v>16</v>
      </c>
      <c r="E47" s="4">
        <v>61700</v>
      </c>
      <c r="F47" s="4">
        <f>C47*E47</f>
        <v>617000</v>
      </c>
    </row>
    <row r="48" spans="1:19">
      <c r="C48" s="2">
        <v>8</v>
      </c>
      <c r="D48" s="2" t="s">
        <v>27</v>
      </c>
    </row>
    <row r="49" spans="2:7">
      <c r="B49" s="3">
        <v>44519</v>
      </c>
      <c r="C49" s="2">
        <v>54</v>
      </c>
      <c r="D49" s="2" t="s">
        <v>24</v>
      </c>
      <c r="E49" s="4">
        <v>7400</v>
      </c>
      <c r="F49" s="4">
        <f>C49*E49</f>
        <v>399600</v>
      </c>
    </row>
    <row r="50" spans="2:7">
      <c r="C50" s="2">
        <v>200</v>
      </c>
      <c r="D50" s="78" t="s">
        <v>26</v>
      </c>
      <c r="E50" s="4">
        <v>8200</v>
      </c>
      <c r="F50" s="4">
        <f t="shared" ref="F50:F51" si="1">C50*E50</f>
        <v>1640000</v>
      </c>
    </row>
    <row r="51" spans="2:7">
      <c r="C51" s="2">
        <v>50</v>
      </c>
      <c r="D51" s="2" t="s">
        <v>2</v>
      </c>
      <c r="E51" s="4">
        <v>18600</v>
      </c>
      <c r="F51" s="4">
        <f t="shared" si="1"/>
        <v>930000</v>
      </c>
    </row>
    <row r="52" spans="2:7">
      <c r="E52" s="11" t="s">
        <v>28</v>
      </c>
      <c r="F52" s="10">
        <f>SUM(F45:F51)</f>
        <v>4667000</v>
      </c>
    </row>
    <row r="53" spans="2:7">
      <c r="F53" s="4">
        <v>-2000000</v>
      </c>
      <c r="G53" s="2" t="s">
        <v>29</v>
      </c>
    </row>
    <row r="54" spans="2:7">
      <c r="E54" s="11" t="s">
        <v>28</v>
      </c>
      <c r="F54" s="10">
        <f>SUM(F52:F53)</f>
        <v>2667000</v>
      </c>
    </row>
    <row r="55" spans="2:7">
      <c r="B55" s="3">
        <v>44543</v>
      </c>
      <c r="F55" s="4">
        <v>-2667000</v>
      </c>
    </row>
    <row r="56" spans="2:7">
      <c r="B56" s="3">
        <v>44543</v>
      </c>
      <c r="C56" s="2">
        <v>20</v>
      </c>
      <c r="D56" s="2" t="s">
        <v>16</v>
      </c>
      <c r="E56" s="4">
        <v>61700</v>
      </c>
      <c r="F56" s="4">
        <f>C56*E56</f>
        <v>1234000</v>
      </c>
      <c r="G56" s="2" t="s">
        <v>57</v>
      </c>
    </row>
    <row r="57" spans="2:7">
      <c r="E57" s="11" t="s">
        <v>28</v>
      </c>
      <c r="F57" s="10">
        <f>SUM(F54:F56)</f>
        <v>1234000</v>
      </c>
    </row>
    <row r="58" spans="2:7">
      <c r="F58" s="4">
        <v>-1232000</v>
      </c>
      <c r="G58" s="2" t="s">
        <v>105</v>
      </c>
    </row>
    <row r="60" spans="2:7">
      <c r="B60" s="3">
        <v>44578</v>
      </c>
      <c r="C60" s="2">
        <v>57</v>
      </c>
      <c r="D60" s="2" t="s">
        <v>106</v>
      </c>
      <c r="E60" s="4">
        <v>20500</v>
      </c>
      <c r="F60" s="4">
        <f>C60*E60</f>
        <v>1168500</v>
      </c>
    </row>
    <row r="61" spans="2:7">
      <c r="C61" s="2">
        <v>8</v>
      </c>
      <c r="D61" s="2" t="s">
        <v>106</v>
      </c>
      <c r="E61" s="4">
        <v>20200</v>
      </c>
      <c r="F61" s="4">
        <f>C61*E61</f>
        <v>161600</v>
      </c>
      <c r="G61" s="2" t="s">
        <v>107</v>
      </c>
    </row>
    <row r="62" spans="2:7">
      <c r="B62" s="3">
        <v>44595</v>
      </c>
      <c r="C62" s="2">
        <v>68</v>
      </c>
      <c r="D62" s="2" t="s">
        <v>106</v>
      </c>
      <c r="E62" s="4">
        <v>20500</v>
      </c>
      <c r="F62" s="4">
        <f>C62*E62</f>
        <v>1394000</v>
      </c>
    </row>
    <row r="63" spans="2:7">
      <c r="C63" s="2">
        <v>94</v>
      </c>
      <c r="D63" s="2" t="s">
        <v>108</v>
      </c>
      <c r="E63" s="4">
        <v>18900</v>
      </c>
      <c r="F63" s="4">
        <f>C63*E63</f>
        <v>1776600</v>
      </c>
    </row>
    <row r="64" spans="2:7">
      <c r="C64" s="2">
        <v>228</v>
      </c>
      <c r="D64" s="2" t="s">
        <v>109</v>
      </c>
      <c r="E64" s="4">
        <v>1800</v>
      </c>
      <c r="F64" s="4">
        <f>C64*E64</f>
        <v>410400</v>
      </c>
    </row>
    <row r="65" spans="2:7">
      <c r="B65" s="3">
        <v>44595</v>
      </c>
      <c r="F65" s="4">
        <v>-1900000</v>
      </c>
      <c r="G65" s="2" t="s">
        <v>110</v>
      </c>
    </row>
    <row r="66" spans="2:7">
      <c r="B66" s="3">
        <v>44596</v>
      </c>
      <c r="C66" s="2">
        <v>148</v>
      </c>
      <c r="D66" s="2" t="s">
        <v>111</v>
      </c>
      <c r="E66" s="4">
        <v>1800</v>
      </c>
      <c r="F66" s="6">
        <f>C66*E66</f>
        <v>266400</v>
      </c>
    </row>
    <row r="67" spans="2:7">
      <c r="B67" s="3">
        <v>44607</v>
      </c>
      <c r="C67" s="2">
        <v>100</v>
      </c>
      <c r="D67" s="2" t="s">
        <v>115</v>
      </c>
      <c r="E67" s="4">
        <v>14600</v>
      </c>
      <c r="F67" s="4">
        <f>C67*E67</f>
        <v>1460000</v>
      </c>
    </row>
    <row r="68" spans="2:7">
      <c r="B68" s="3"/>
      <c r="F68" s="4">
        <v>-2000000</v>
      </c>
      <c r="G68" s="2" t="s">
        <v>168</v>
      </c>
    </row>
    <row r="69" spans="2:7">
      <c r="B69" s="3">
        <v>44609</v>
      </c>
      <c r="C69" s="2">
        <v>20</v>
      </c>
      <c r="D69" s="2" t="s">
        <v>16</v>
      </c>
      <c r="E69" s="4">
        <v>61700</v>
      </c>
      <c r="F69" s="4">
        <f>C69*E69</f>
        <v>1234000</v>
      </c>
    </row>
    <row r="70" spans="2:7">
      <c r="B70" s="3"/>
      <c r="F70" s="4">
        <v>-2000000</v>
      </c>
      <c r="G70" s="2" t="s">
        <v>169</v>
      </c>
    </row>
    <row r="71" spans="2:7">
      <c r="B71" s="3">
        <v>44617</v>
      </c>
      <c r="C71" s="5">
        <v>100</v>
      </c>
      <c r="D71" s="5" t="s">
        <v>162</v>
      </c>
      <c r="E71" s="6">
        <v>13900</v>
      </c>
      <c r="F71" s="4">
        <f>C71*E71</f>
        <v>1390000</v>
      </c>
    </row>
    <row r="72" spans="2:7">
      <c r="C72" s="5">
        <v>100</v>
      </c>
      <c r="D72" s="5" t="s">
        <v>166</v>
      </c>
      <c r="E72" s="6">
        <v>10100</v>
      </c>
      <c r="F72" s="4">
        <f>C72*E72</f>
        <v>1010000</v>
      </c>
    </row>
    <row r="73" spans="2:7">
      <c r="C73" s="5">
        <v>100</v>
      </c>
      <c r="D73" s="5" t="s">
        <v>165</v>
      </c>
      <c r="E73" s="6">
        <v>13600</v>
      </c>
      <c r="F73" s="4">
        <f>C73*E73</f>
        <v>1360000</v>
      </c>
    </row>
    <row r="74" spans="2:7">
      <c r="B74" s="3">
        <v>44624</v>
      </c>
      <c r="E74" s="5"/>
      <c r="F74" s="4">
        <v>-3000000</v>
      </c>
      <c r="G74" s="2" t="s">
        <v>170</v>
      </c>
    </row>
    <row r="75" spans="2:7">
      <c r="B75" s="3">
        <v>44629</v>
      </c>
      <c r="C75" s="5">
        <v>100</v>
      </c>
      <c r="D75" s="5" t="s">
        <v>167</v>
      </c>
      <c r="E75" s="6">
        <v>15100</v>
      </c>
      <c r="F75" s="4">
        <f>C75*E75</f>
        <v>1510000</v>
      </c>
    </row>
    <row r="76" spans="2:7">
      <c r="C76" s="2">
        <v>9</v>
      </c>
      <c r="D76" s="2" t="s">
        <v>16</v>
      </c>
      <c r="E76" s="4">
        <v>61700</v>
      </c>
      <c r="F76" s="4">
        <f>C76*E76</f>
        <v>555300</v>
      </c>
    </row>
    <row r="77" spans="2:7">
      <c r="B77" s="3">
        <v>44629</v>
      </c>
      <c r="E77" s="11" t="s">
        <v>28</v>
      </c>
      <c r="F77" s="10">
        <f>SUM(F60:F76)</f>
        <v>4796800</v>
      </c>
    </row>
    <row r="78" spans="2:7">
      <c r="B78" s="3">
        <v>44643</v>
      </c>
      <c r="C78" s="5">
        <v>200</v>
      </c>
      <c r="D78" s="5" t="s">
        <v>115</v>
      </c>
      <c r="E78" s="6">
        <v>14800</v>
      </c>
      <c r="F78" s="4">
        <f>C78*E78</f>
        <v>2960000</v>
      </c>
    </row>
    <row r="79" spans="2:7">
      <c r="F79" s="4">
        <v>-3000000</v>
      </c>
      <c r="G79" s="2" t="s">
        <v>171</v>
      </c>
    </row>
    <row r="80" spans="2:7">
      <c r="E80" s="11" t="s">
        <v>28</v>
      </c>
      <c r="F80" s="10">
        <f>SUM(F77:F79)</f>
        <v>4756800</v>
      </c>
    </row>
    <row r="81" spans="2:10">
      <c r="B81" s="3">
        <v>44656</v>
      </c>
      <c r="C81" s="2">
        <v>9</v>
      </c>
      <c r="D81" s="2" t="s">
        <v>16</v>
      </c>
      <c r="E81" s="4">
        <v>61700</v>
      </c>
      <c r="F81" s="4">
        <f>C81*E81</f>
        <v>555300</v>
      </c>
    </row>
    <row r="82" spans="2:10">
      <c r="B82" s="3">
        <v>44662</v>
      </c>
      <c r="C82" s="5">
        <v>9</v>
      </c>
      <c r="D82" s="2" t="s">
        <v>16</v>
      </c>
      <c r="E82" s="4">
        <v>61700</v>
      </c>
      <c r="F82" s="4">
        <f>C82*E82</f>
        <v>555300</v>
      </c>
    </row>
    <row r="83" spans="2:10">
      <c r="B83" s="3">
        <v>44671</v>
      </c>
      <c r="F83" s="4">
        <v>-2000000</v>
      </c>
      <c r="G83" s="2" t="s">
        <v>172</v>
      </c>
    </row>
    <row r="84" spans="2:10">
      <c r="B84" s="3">
        <v>44678</v>
      </c>
      <c r="C84" s="5">
        <v>18</v>
      </c>
      <c r="D84" s="78" t="s">
        <v>16</v>
      </c>
      <c r="E84" s="79">
        <v>61700</v>
      </c>
      <c r="F84" s="90">
        <f>C84*E84</f>
        <v>1110600</v>
      </c>
    </row>
    <row r="85" spans="2:10">
      <c r="E85" s="11" t="s">
        <v>28</v>
      </c>
      <c r="F85" s="23">
        <f>SUM(F80:F84)</f>
        <v>4978000</v>
      </c>
    </row>
    <row r="86" spans="2:10">
      <c r="B86" s="3">
        <v>44692</v>
      </c>
      <c r="C86" s="2">
        <v>120</v>
      </c>
      <c r="D86" s="5" t="s">
        <v>205</v>
      </c>
      <c r="E86" s="79">
        <v>13900</v>
      </c>
      <c r="F86" s="79">
        <f>C86*E86</f>
        <v>1668000</v>
      </c>
    </row>
    <row r="87" spans="2:10">
      <c r="C87" s="2">
        <v>60</v>
      </c>
      <c r="D87" s="78" t="s">
        <v>202</v>
      </c>
      <c r="E87" s="79">
        <v>13200</v>
      </c>
      <c r="F87" s="79">
        <f t="shared" ref="F87:F88" si="2">C87*E87</f>
        <v>792000</v>
      </c>
    </row>
    <row r="88" spans="2:10">
      <c r="C88" s="2">
        <v>80</v>
      </c>
      <c r="D88" s="78" t="s">
        <v>204</v>
      </c>
      <c r="E88" s="79">
        <v>13800</v>
      </c>
      <c r="F88" s="79">
        <f t="shared" si="2"/>
        <v>1104000</v>
      </c>
    </row>
    <row r="89" spans="2:10">
      <c r="E89" s="5"/>
      <c r="F89" s="79">
        <v>-5000000</v>
      </c>
      <c r="G89" s="78" t="s">
        <v>208</v>
      </c>
    </row>
    <row r="90" spans="2:10">
      <c r="E90" s="11" t="s">
        <v>28</v>
      </c>
      <c r="F90" s="10">
        <f>SUM(F85:F89)</f>
        <v>3542000</v>
      </c>
    </row>
    <row r="91" spans="2:10">
      <c r="B91" s="3">
        <v>44693</v>
      </c>
      <c r="C91" s="5">
        <v>7</v>
      </c>
      <c r="D91" s="78" t="s">
        <v>16</v>
      </c>
      <c r="E91" s="79">
        <v>61700</v>
      </c>
      <c r="F91" s="79">
        <f>C91*E91</f>
        <v>431900</v>
      </c>
    </row>
    <row r="92" spans="2:10">
      <c r="B92" s="3">
        <v>44694</v>
      </c>
      <c r="F92" s="79">
        <v>-2000000</v>
      </c>
      <c r="G92" s="78" t="s">
        <v>219</v>
      </c>
      <c r="H92" s="78"/>
    </row>
    <row r="93" spans="2:10">
      <c r="B93" s="3">
        <v>44705</v>
      </c>
      <c r="C93" s="2">
        <v>140</v>
      </c>
      <c r="D93" s="78" t="s">
        <v>223</v>
      </c>
      <c r="E93" s="21">
        <v>15500</v>
      </c>
      <c r="F93" s="92">
        <f>C93*E93</f>
        <v>2170000</v>
      </c>
      <c r="I93" s="79">
        <v>-1500000</v>
      </c>
      <c r="J93" s="78" t="s">
        <v>224</v>
      </c>
    </row>
    <row r="94" spans="2:10">
      <c r="C94" s="2">
        <v>60</v>
      </c>
      <c r="D94" s="78" t="s">
        <v>222</v>
      </c>
      <c r="E94" s="21">
        <v>11700</v>
      </c>
      <c r="F94" s="92">
        <f t="shared" ref="F94:F98" si="3">C94*E94</f>
        <v>702000</v>
      </c>
      <c r="I94" s="79">
        <v>-2000000</v>
      </c>
      <c r="J94" s="78" t="s">
        <v>225</v>
      </c>
    </row>
    <row r="95" spans="2:10">
      <c r="C95" s="2">
        <v>20</v>
      </c>
      <c r="D95" s="78" t="s">
        <v>221</v>
      </c>
      <c r="E95" s="21">
        <v>12500</v>
      </c>
      <c r="F95" s="92">
        <f t="shared" si="3"/>
        <v>250000</v>
      </c>
      <c r="I95" s="79">
        <v>-3000000</v>
      </c>
      <c r="J95" s="78" t="s">
        <v>227</v>
      </c>
    </row>
    <row r="96" spans="2:10">
      <c r="C96" s="2">
        <v>20</v>
      </c>
      <c r="D96" s="78" t="s">
        <v>220</v>
      </c>
      <c r="E96" s="21">
        <v>13200</v>
      </c>
      <c r="F96" s="92">
        <f t="shared" si="3"/>
        <v>264000</v>
      </c>
    </row>
    <row r="97" spans="1:8">
      <c r="B97" s="3">
        <v>44725</v>
      </c>
      <c r="C97" s="2">
        <v>16</v>
      </c>
      <c r="D97" s="78" t="s">
        <v>226</v>
      </c>
      <c r="E97" s="21">
        <v>27200</v>
      </c>
      <c r="F97" s="21">
        <f t="shared" si="3"/>
        <v>435200</v>
      </c>
    </row>
    <row r="98" spans="1:8">
      <c r="A98" s="78" t="s">
        <v>261</v>
      </c>
      <c r="B98" s="3">
        <v>44775</v>
      </c>
      <c r="C98" s="2">
        <v>20</v>
      </c>
      <c r="D98" s="78" t="s">
        <v>16</v>
      </c>
      <c r="E98" s="79">
        <v>80000</v>
      </c>
      <c r="F98" s="21">
        <f t="shared" si="3"/>
        <v>1600000</v>
      </c>
    </row>
    <row r="99" spans="1:8">
      <c r="F99" s="79">
        <v>-2000000</v>
      </c>
      <c r="G99" s="78" t="s">
        <v>228</v>
      </c>
    </row>
    <row r="100" spans="1:8">
      <c r="B100" s="3">
        <v>44781</v>
      </c>
      <c r="F100" s="79">
        <v>-2000000</v>
      </c>
      <c r="G100" s="78" t="s">
        <v>229</v>
      </c>
    </row>
    <row r="101" spans="1:8">
      <c r="E101" s="11" t="s">
        <v>28</v>
      </c>
      <c r="F101" s="10">
        <f>SUM(F90:F100)</f>
        <v>3395100</v>
      </c>
      <c r="G101" s="93">
        <v>44781</v>
      </c>
    </row>
    <row r="102" spans="1:8">
      <c r="B102" s="3">
        <v>44797</v>
      </c>
      <c r="C102" s="2">
        <v>140</v>
      </c>
      <c r="D102" s="78" t="s">
        <v>230</v>
      </c>
      <c r="E102" s="21">
        <v>14400</v>
      </c>
      <c r="F102" s="21">
        <f>C102*E102</f>
        <v>2016000</v>
      </c>
    </row>
    <row r="103" spans="1:8">
      <c r="C103" s="2">
        <v>1</v>
      </c>
      <c r="D103" s="78" t="s">
        <v>231</v>
      </c>
      <c r="E103" s="21">
        <v>32000</v>
      </c>
      <c r="F103" s="21">
        <f>C103*E103</f>
        <v>32000</v>
      </c>
    </row>
    <row r="104" spans="1:8">
      <c r="B104" s="3">
        <v>44803</v>
      </c>
      <c r="C104" s="2">
        <v>15</v>
      </c>
      <c r="D104" s="78" t="s">
        <v>232</v>
      </c>
      <c r="E104" s="79">
        <v>20000</v>
      </c>
      <c r="F104" s="79">
        <f>C104*E104</f>
        <v>300000</v>
      </c>
    </row>
    <row r="105" spans="1:8">
      <c r="C105" s="2">
        <v>60</v>
      </c>
      <c r="D105" s="78" t="s">
        <v>233</v>
      </c>
      <c r="E105" s="79">
        <v>1800</v>
      </c>
      <c r="F105" s="79">
        <f>C105*E105</f>
        <v>108000</v>
      </c>
    </row>
    <row r="106" spans="1:8">
      <c r="F106" s="79">
        <v>-1800000</v>
      </c>
      <c r="G106" s="78" t="s">
        <v>234</v>
      </c>
    </row>
    <row r="107" spans="1:8">
      <c r="E107" s="11" t="s">
        <v>28</v>
      </c>
      <c r="F107" s="10">
        <f>SUM(F101:F106)</f>
        <v>4051100</v>
      </c>
      <c r="G107" s="93">
        <v>44803</v>
      </c>
    </row>
    <row r="108" spans="1:8">
      <c r="B108" s="3">
        <v>44809</v>
      </c>
      <c r="C108" s="78">
        <v>300</v>
      </c>
      <c r="D108" s="78" t="s">
        <v>235</v>
      </c>
      <c r="E108" s="79">
        <v>1800</v>
      </c>
      <c r="F108" s="79">
        <f>C108*E108</f>
        <v>540000</v>
      </c>
    </row>
    <row r="109" spans="1:8">
      <c r="C109" s="78">
        <v>60</v>
      </c>
      <c r="D109" s="78" t="s">
        <v>232</v>
      </c>
      <c r="E109" s="79">
        <v>20000</v>
      </c>
      <c r="F109" s="79">
        <f>C109*E109</f>
        <v>1200000</v>
      </c>
    </row>
    <row r="110" spans="1:8">
      <c r="A110" s="78" t="s">
        <v>260</v>
      </c>
      <c r="C110" s="78">
        <v>20</v>
      </c>
      <c r="D110" s="78" t="s">
        <v>16</v>
      </c>
      <c r="E110" s="79">
        <v>80000</v>
      </c>
      <c r="F110" s="21">
        <f t="shared" ref="F110" si="4">C110*E110</f>
        <v>1600000</v>
      </c>
    </row>
    <row r="111" spans="1:8">
      <c r="F111" s="79">
        <v>-2700000</v>
      </c>
      <c r="G111" s="78" t="s">
        <v>236</v>
      </c>
      <c r="H111" s="78"/>
    </row>
    <row r="112" spans="1:8">
      <c r="E112" s="11" t="s">
        <v>28</v>
      </c>
      <c r="F112" s="10">
        <f>SUM(F107:F111)</f>
        <v>4691100</v>
      </c>
      <c r="G112" s="93">
        <v>44810</v>
      </c>
    </row>
    <row r="113" spans="1:10">
      <c r="A113" s="78" t="s">
        <v>259</v>
      </c>
      <c r="B113" s="3">
        <v>44812</v>
      </c>
      <c r="C113" s="78">
        <v>20</v>
      </c>
      <c r="D113" s="78" t="s">
        <v>16</v>
      </c>
      <c r="E113" s="79">
        <v>80000</v>
      </c>
      <c r="F113" s="79">
        <f>C113*E113</f>
        <v>1600000</v>
      </c>
    </row>
    <row r="114" spans="1:10">
      <c r="B114" s="3">
        <v>44817</v>
      </c>
      <c r="F114" s="79">
        <v>-3000000</v>
      </c>
      <c r="G114" s="78" t="s">
        <v>237</v>
      </c>
      <c r="H114" s="78"/>
    </row>
    <row r="115" spans="1:10">
      <c r="E115" s="11" t="s">
        <v>28</v>
      </c>
      <c r="F115" s="10">
        <f>SUM(F112:F114)</f>
        <v>3291100</v>
      </c>
      <c r="G115" s="93">
        <v>44817</v>
      </c>
    </row>
    <row r="116" spans="1:10">
      <c r="A116" s="78" t="s">
        <v>258</v>
      </c>
      <c r="B116" s="3">
        <v>44820</v>
      </c>
      <c r="C116" s="78">
        <v>20</v>
      </c>
      <c r="D116" s="78" t="s">
        <v>16</v>
      </c>
      <c r="E116" s="79">
        <v>80000</v>
      </c>
      <c r="F116" s="79">
        <f>C116*E116</f>
        <v>1600000</v>
      </c>
    </row>
    <row r="117" spans="1:10">
      <c r="B117" s="3">
        <v>44831</v>
      </c>
      <c r="C117" s="78">
        <v>15</v>
      </c>
      <c r="D117" s="78" t="s">
        <v>232</v>
      </c>
      <c r="E117" s="79">
        <v>20000</v>
      </c>
      <c r="F117" s="79">
        <f>C117*E117</f>
        <v>300000</v>
      </c>
      <c r="J117" s="78" t="s">
        <v>266</v>
      </c>
    </row>
    <row r="118" spans="1:10">
      <c r="C118" s="78">
        <v>120</v>
      </c>
      <c r="D118" s="78" t="s">
        <v>222</v>
      </c>
      <c r="E118" s="79">
        <v>11600</v>
      </c>
      <c r="F118" s="79">
        <f t="shared" ref="F118:F119" si="5">C118*E118</f>
        <v>1392000</v>
      </c>
    </row>
    <row r="119" spans="1:10">
      <c r="C119" s="78">
        <v>40</v>
      </c>
      <c r="D119" s="78" t="s">
        <v>242</v>
      </c>
      <c r="E119" s="79">
        <v>8600</v>
      </c>
      <c r="F119" s="79">
        <f t="shared" si="5"/>
        <v>344000</v>
      </c>
      <c r="J119" s="78" t="s">
        <v>264</v>
      </c>
    </row>
    <row r="120" spans="1:10">
      <c r="E120" s="11" t="s">
        <v>28</v>
      </c>
      <c r="F120" s="10">
        <f>SUM(F115:F119)</f>
        <v>6927100</v>
      </c>
      <c r="G120" s="93">
        <v>44831</v>
      </c>
    </row>
    <row r="121" spans="1:10">
      <c r="B121" s="3">
        <v>44859</v>
      </c>
      <c r="D121" s="78"/>
      <c r="E121" s="79"/>
      <c r="F121" s="79">
        <v>-3000000</v>
      </c>
      <c r="G121" s="78" t="s">
        <v>243</v>
      </c>
    </row>
    <row r="122" spans="1:10">
      <c r="B122" s="3">
        <v>44865</v>
      </c>
      <c r="C122" s="2">
        <v>36</v>
      </c>
      <c r="D122" s="78" t="s">
        <v>244</v>
      </c>
      <c r="E122" s="79">
        <v>10000</v>
      </c>
      <c r="F122" s="79">
        <f>C122*E122</f>
        <v>360000</v>
      </c>
    </row>
    <row r="123" spans="1:10">
      <c r="F123" s="79">
        <v>-1000000</v>
      </c>
      <c r="G123" s="78" t="s">
        <v>245</v>
      </c>
    </row>
    <row r="124" spans="1:10">
      <c r="B124" s="3">
        <v>44887</v>
      </c>
      <c r="C124" s="2">
        <v>100</v>
      </c>
      <c r="D124" s="78" t="s">
        <v>251</v>
      </c>
      <c r="E124" s="79">
        <v>9900</v>
      </c>
      <c r="F124" s="79">
        <f>C124*E124</f>
        <v>990000</v>
      </c>
    </row>
    <row r="125" spans="1:10">
      <c r="C125" s="2">
        <v>100</v>
      </c>
      <c r="D125" s="78" t="s">
        <v>252</v>
      </c>
      <c r="E125" s="79">
        <v>9900</v>
      </c>
      <c r="F125" s="79">
        <f t="shared" ref="F125:F127" si="6">C125*E125</f>
        <v>990000</v>
      </c>
    </row>
    <row r="126" spans="1:10">
      <c r="C126" s="2">
        <v>100</v>
      </c>
      <c r="D126" s="78" t="s">
        <v>26</v>
      </c>
      <c r="E126" s="79">
        <v>11400</v>
      </c>
      <c r="F126" s="79">
        <f t="shared" si="6"/>
        <v>1140000</v>
      </c>
    </row>
    <row r="127" spans="1:10">
      <c r="C127" s="2">
        <v>20</v>
      </c>
      <c r="D127" s="78" t="s">
        <v>253</v>
      </c>
      <c r="E127" s="79">
        <v>7700</v>
      </c>
      <c r="F127" s="79">
        <f t="shared" si="6"/>
        <v>154000</v>
      </c>
    </row>
    <row r="128" spans="1:10">
      <c r="F128" s="79">
        <v>-3000000</v>
      </c>
      <c r="G128" s="78" t="s">
        <v>255</v>
      </c>
      <c r="H128" s="78"/>
    </row>
    <row r="129" spans="1:8">
      <c r="E129" s="11" t="s">
        <v>28</v>
      </c>
      <c r="F129" s="10">
        <f>SUM(F120:F128)</f>
        <v>3561100</v>
      </c>
      <c r="G129" s="93">
        <v>44887</v>
      </c>
    </row>
    <row r="130" spans="1:8">
      <c r="B130" s="3">
        <v>44901</v>
      </c>
      <c r="C130" s="2">
        <v>50</v>
      </c>
      <c r="D130" s="78" t="s">
        <v>223</v>
      </c>
      <c r="E130" s="79">
        <v>15700</v>
      </c>
      <c r="F130" s="79">
        <f>C130*E130</f>
        <v>785000</v>
      </c>
    </row>
    <row r="131" spans="1:8">
      <c r="B131" s="3">
        <v>44916</v>
      </c>
      <c r="C131" s="2">
        <v>150</v>
      </c>
      <c r="D131" s="78" t="s">
        <v>223</v>
      </c>
      <c r="E131" s="79">
        <v>15700</v>
      </c>
      <c r="F131" s="79">
        <f>C131*E131</f>
        <v>2355000</v>
      </c>
    </row>
    <row r="132" spans="1:8">
      <c r="B132" s="3">
        <v>44916</v>
      </c>
      <c r="F132" s="79">
        <v>-3300000</v>
      </c>
      <c r="G132" s="78" t="s">
        <v>270</v>
      </c>
    </row>
    <row r="133" spans="1:8">
      <c r="E133" s="11" t="s">
        <v>28</v>
      </c>
      <c r="F133" s="10">
        <f>SUM(F129:F132)</f>
        <v>3401100</v>
      </c>
      <c r="G133" s="93">
        <v>44916</v>
      </c>
    </row>
    <row r="134" spans="1:8">
      <c r="A134" s="78" t="s">
        <v>257</v>
      </c>
      <c r="B134" s="3">
        <v>44918</v>
      </c>
      <c r="C134" s="78">
        <v>10</v>
      </c>
      <c r="D134" s="78" t="s">
        <v>16</v>
      </c>
      <c r="E134" s="79">
        <v>80000</v>
      </c>
      <c r="F134" s="79">
        <f>C134*E134</f>
        <v>800000</v>
      </c>
    </row>
    <row r="135" spans="1:8">
      <c r="B135" s="3">
        <v>44946</v>
      </c>
      <c r="C135" s="2">
        <v>100</v>
      </c>
      <c r="D135" s="78" t="s">
        <v>223</v>
      </c>
      <c r="E135" s="79">
        <v>15700</v>
      </c>
      <c r="F135" s="79">
        <f>C135*E135</f>
        <v>1570000</v>
      </c>
    </row>
    <row r="136" spans="1:8">
      <c r="A136" s="78" t="s">
        <v>256</v>
      </c>
      <c r="B136" s="3">
        <v>44952</v>
      </c>
      <c r="C136" s="78">
        <v>10</v>
      </c>
      <c r="D136" s="78" t="s">
        <v>16</v>
      </c>
      <c r="E136" s="79">
        <v>80000</v>
      </c>
      <c r="F136" s="79">
        <f>C136*E136</f>
        <v>800000</v>
      </c>
    </row>
    <row r="137" spans="1:8">
      <c r="B137" s="3">
        <v>44957</v>
      </c>
      <c r="C137" s="2">
        <v>200</v>
      </c>
      <c r="D137" s="78" t="s">
        <v>230</v>
      </c>
      <c r="E137" s="79">
        <v>16100</v>
      </c>
      <c r="F137" s="79">
        <f>C137*E137</f>
        <v>3220000</v>
      </c>
    </row>
    <row r="138" spans="1:8">
      <c r="F138" s="79">
        <v>-3000000</v>
      </c>
      <c r="G138" s="78" t="s">
        <v>262</v>
      </c>
    </row>
    <row r="139" spans="1:8">
      <c r="E139" s="11" t="s">
        <v>28</v>
      </c>
      <c r="F139" s="10">
        <f>SUM(F133:F138)</f>
        <v>6791100</v>
      </c>
      <c r="G139" s="93">
        <v>44957</v>
      </c>
    </row>
    <row r="140" spans="1:8">
      <c r="A140" s="78" t="s">
        <v>263</v>
      </c>
      <c r="B140" s="3">
        <v>44960</v>
      </c>
      <c r="C140" s="78">
        <v>10</v>
      </c>
      <c r="D140" s="78" t="s">
        <v>16</v>
      </c>
      <c r="E140" s="79">
        <v>80000</v>
      </c>
      <c r="F140" s="79">
        <f>C140*E140</f>
        <v>800000</v>
      </c>
    </row>
    <row r="141" spans="1:8">
      <c r="A141" s="78" t="s">
        <v>269</v>
      </c>
      <c r="B141" s="3">
        <v>44965</v>
      </c>
      <c r="C141" s="78">
        <v>10</v>
      </c>
      <c r="D141" s="78" t="s">
        <v>16</v>
      </c>
      <c r="E141" s="79">
        <v>80000</v>
      </c>
      <c r="F141" s="79">
        <f t="shared" ref="F141:F143" si="7">C141*E141</f>
        <v>800000</v>
      </c>
    </row>
    <row r="142" spans="1:8">
      <c r="C142" s="2">
        <v>20</v>
      </c>
      <c r="D142" s="78" t="s">
        <v>232</v>
      </c>
      <c r="E142" s="79">
        <v>23300</v>
      </c>
      <c r="F142" s="79">
        <f t="shared" si="7"/>
        <v>466000</v>
      </c>
    </row>
    <row r="143" spans="1:8">
      <c r="C143" s="2">
        <v>80</v>
      </c>
      <c r="D143" s="78" t="s">
        <v>267</v>
      </c>
      <c r="E143" s="79">
        <v>2200</v>
      </c>
      <c r="F143" s="79">
        <f t="shared" si="7"/>
        <v>176000</v>
      </c>
    </row>
    <row r="144" spans="1:8">
      <c r="B144" s="3"/>
      <c r="F144" s="79">
        <v>-6000000</v>
      </c>
      <c r="G144" s="78" t="s">
        <v>271</v>
      </c>
      <c r="H144" s="78"/>
    </row>
    <row r="145" spans="1:8">
      <c r="B145" s="3">
        <v>44986</v>
      </c>
      <c r="C145" s="78">
        <v>200</v>
      </c>
      <c r="D145" s="78" t="s">
        <v>222</v>
      </c>
      <c r="E145" s="79">
        <v>13200</v>
      </c>
      <c r="F145" s="79">
        <f>C145*E145</f>
        <v>2640000</v>
      </c>
    </row>
    <row r="146" spans="1:8">
      <c r="C146" s="78">
        <v>74</v>
      </c>
      <c r="D146" s="78" t="s">
        <v>232</v>
      </c>
      <c r="E146" s="79">
        <v>23300</v>
      </c>
      <c r="F146" s="79">
        <f t="shared" ref="F146:F147" si="8">C146*E146</f>
        <v>1724200</v>
      </c>
    </row>
    <row r="147" spans="1:8">
      <c r="C147" s="78">
        <v>296</v>
      </c>
      <c r="D147" s="78" t="s">
        <v>268</v>
      </c>
      <c r="E147" s="79">
        <v>2200</v>
      </c>
      <c r="F147" s="79">
        <f t="shared" si="8"/>
        <v>651200</v>
      </c>
    </row>
    <row r="148" spans="1:8">
      <c r="C148" s="78">
        <v>74</v>
      </c>
      <c r="D148" s="78" t="s">
        <v>232</v>
      </c>
      <c r="E148" s="79">
        <v>23300</v>
      </c>
      <c r="F148" s="79">
        <f>C148*E148</f>
        <v>1724200</v>
      </c>
    </row>
    <row r="149" spans="1:8">
      <c r="C149" s="2">
        <v>100</v>
      </c>
      <c r="D149" s="78" t="s">
        <v>242</v>
      </c>
      <c r="E149" s="79">
        <v>9900</v>
      </c>
      <c r="F149" s="79">
        <f>C149*E149</f>
        <v>990000</v>
      </c>
    </row>
    <row r="150" spans="1:8">
      <c r="E150" s="11" t="s">
        <v>28</v>
      </c>
      <c r="F150" s="10">
        <f>SUM(F139:F149)</f>
        <v>10762700</v>
      </c>
      <c r="G150" s="93">
        <v>44986</v>
      </c>
    </row>
    <row r="151" spans="1:8">
      <c r="B151" s="78"/>
      <c r="F151" s="79">
        <v>-6000000</v>
      </c>
      <c r="G151" s="78" t="s">
        <v>272</v>
      </c>
    </row>
    <row r="152" spans="1:8">
      <c r="E152" s="11" t="s">
        <v>28</v>
      </c>
      <c r="F152" s="10">
        <f>SUM(F150:F151)</f>
        <v>4762700</v>
      </c>
      <c r="G152" s="93">
        <v>44992</v>
      </c>
    </row>
    <row r="153" spans="1:8">
      <c r="C153" s="78"/>
      <c r="D153" s="78"/>
      <c r="F153" s="79">
        <v>-4762700</v>
      </c>
      <c r="G153" s="78" t="s">
        <v>273</v>
      </c>
      <c r="H153" s="78"/>
    </row>
    <row r="154" spans="1:8" s="78" customFormat="1">
      <c r="F154" s="79"/>
    </row>
    <row r="155" spans="1:8" s="78" customFormat="1">
      <c r="C155" s="78">
        <v>2</v>
      </c>
      <c r="D155" s="78" t="s">
        <v>286</v>
      </c>
      <c r="E155" s="79">
        <v>20000</v>
      </c>
      <c r="F155" s="79">
        <f>C155*E155</f>
        <v>40000</v>
      </c>
      <c r="H155" s="96" t="s">
        <v>289</v>
      </c>
    </row>
    <row r="156" spans="1:8">
      <c r="C156" s="2">
        <v>10</v>
      </c>
      <c r="D156" s="78" t="s">
        <v>280</v>
      </c>
      <c r="E156" s="79">
        <v>9700</v>
      </c>
      <c r="F156" s="79">
        <f>C156*E156</f>
        <v>97000</v>
      </c>
      <c r="H156" s="96" t="s">
        <v>290</v>
      </c>
    </row>
    <row r="157" spans="1:8" s="78" customFormat="1">
      <c r="C157" s="78">
        <v>1</v>
      </c>
      <c r="D157" s="78" t="s">
        <v>281</v>
      </c>
      <c r="E157" s="79">
        <v>100000</v>
      </c>
      <c r="F157" s="79">
        <f>C157*E157</f>
        <v>100000</v>
      </c>
      <c r="H157" s="96" t="s">
        <v>291</v>
      </c>
    </row>
    <row r="158" spans="1:8">
      <c r="A158" s="78" t="s">
        <v>274</v>
      </c>
      <c r="B158" s="3">
        <v>45056</v>
      </c>
      <c r="C158" s="78">
        <v>10</v>
      </c>
      <c r="D158" s="78" t="s">
        <v>16</v>
      </c>
      <c r="E158" s="79">
        <v>80000</v>
      </c>
      <c r="F158" s="79">
        <f t="shared" ref="F158:F163" si="9">C158*E158</f>
        <v>800000</v>
      </c>
    </row>
    <row r="159" spans="1:8">
      <c r="B159" s="3">
        <v>45064</v>
      </c>
      <c r="C159" s="2">
        <v>40</v>
      </c>
      <c r="D159" s="78" t="s">
        <v>275</v>
      </c>
      <c r="E159" s="79">
        <v>10800</v>
      </c>
      <c r="F159" s="79">
        <f t="shared" si="9"/>
        <v>432000</v>
      </c>
    </row>
    <row r="160" spans="1:8">
      <c r="B160" s="3">
        <v>45083</v>
      </c>
      <c r="C160" s="2">
        <v>38</v>
      </c>
      <c r="D160" s="78" t="s">
        <v>280</v>
      </c>
      <c r="E160" s="79">
        <v>9700</v>
      </c>
      <c r="F160" s="79">
        <f t="shared" si="9"/>
        <v>368600</v>
      </c>
    </row>
    <row r="161" spans="1:7">
      <c r="C161" s="2">
        <v>20</v>
      </c>
      <c r="D161" s="78" t="s">
        <v>282</v>
      </c>
      <c r="E161" s="79">
        <v>6800</v>
      </c>
      <c r="F161" s="79">
        <f t="shared" si="9"/>
        <v>136000</v>
      </c>
    </row>
    <row r="162" spans="1:7">
      <c r="C162" s="2">
        <v>20</v>
      </c>
      <c r="D162" s="78" t="s">
        <v>283</v>
      </c>
      <c r="E162" s="79">
        <v>6800</v>
      </c>
      <c r="F162" s="79">
        <f t="shared" si="9"/>
        <v>136000</v>
      </c>
    </row>
    <row r="163" spans="1:7">
      <c r="C163" s="2">
        <v>24</v>
      </c>
      <c r="D163" s="78" t="s">
        <v>284</v>
      </c>
      <c r="E163" s="79">
        <v>7800</v>
      </c>
      <c r="F163" s="79">
        <f t="shared" si="9"/>
        <v>187200</v>
      </c>
    </row>
    <row r="164" spans="1:7">
      <c r="A164" s="78" t="s">
        <v>285</v>
      </c>
      <c r="C164" s="2">
        <v>10</v>
      </c>
      <c r="D164" s="78" t="s">
        <v>16</v>
      </c>
      <c r="E164" s="79">
        <v>80000</v>
      </c>
      <c r="F164" s="79">
        <f>C164*E164</f>
        <v>800000</v>
      </c>
    </row>
    <row r="165" spans="1:7">
      <c r="B165" s="3">
        <v>45099</v>
      </c>
      <c r="C165" s="2">
        <v>82</v>
      </c>
      <c r="D165" s="78" t="s">
        <v>275</v>
      </c>
      <c r="E165" s="79">
        <v>10800</v>
      </c>
      <c r="F165" s="79">
        <f>C165*E165</f>
        <v>885600</v>
      </c>
    </row>
    <row r="166" spans="1:7">
      <c r="A166" s="78" t="s">
        <v>287</v>
      </c>
      <c r="C166" s="78">
        <v>10</v>
      </c>
      <c r="D166" s="78" t="s">
        <v>16</v>
      </c>
      <c r="E166" s="79">
        <v>80000</v>
      </c>
      <c r="F166" s="79">
        <f>C166*E166</f>
        <v>800000</v>
      </c>
    </row>
    <row r="167" spans="1:7">
      <c r="F167" s="79">
        <v>-2000000</v>
      </c>
      <c r="G167" s="78" t="s">
        <v>288</v>
      </c>
    </row>
    <row r="168" spans="1:7">
      <c r="E168" s="11" t="s">
        <v>28</v>
      </c>
      <c r="F168" s="10">
        <f>SUM(F155:F167)</f>
        <v>2782400</v>
      </c>
      <c r="G168" s="93">
        <v>45099</v>
      </c>
    </row>
    <row r="169" spans="1:7">
      <c r="B169" s="3">
        <v>45120</v>
      </c>
      <c r="C169" s="2">
        <v>30</v>
      </c>
      <c r="D169" s="78" t="s">
        <v>293</v>
      </c>
      <c r="E169" s="79">
        <v>5900</v>
      </c>
      <c r="F169" s="79">
        <f>C169*E169</f>
        <v>177000</v>
      </c>
    </row>
    <row r="170" spans="1:7">
      <c r="F170" s="79">
        <v>-1000000</v>
      </c>
      <c r="G170" s="78" t="s">
        <v>292</v>
      </c>
    </row>
    <row r="171" spans="1:7">
      <c r="B171" s="3">
        <v>45128</v>
      </c>
      <c r="C171" s="2">
        <v>40</v>
      </c>
      <c r="D171" s="78" t="s">
        <v>223</v>
      </c>
      <c r="E171" s="79">
        <v>17600</v>
      </c>
      <c r="F171" s="79">
        <f>C171*E171</f>
        <v>704000</v>
      </c>
    </row>
    <row r="172" spans="1:7">
      <c r="F172" s="79">
        <v>-2000000</v>
      </c>
      <c r="G172" s="78" t="s">
        <v>297</v>
      </c>
    </row>
    <row r="173" spans="1:7">
      <c r="E173" s="11" t="s">
        <v>28</v>
      </c>
      <c r="F173" s="10">
        <f>SUM(F168:F172)</f>
        <v>663400</v>
      </c>
      <c r="G173" s="93">
        <v>45128</v>
      </c>
    </row>
    <row r="174" spans="1:7">
      <c r="B174" s="3">
        <v>45139</v>
      </c>
      <c r="C174" s="2">
        <v>160</v>
      </c>
      <c r="D174" s="78" t="s">
        <v>223</v>
      </c>
      <c r="E174" s="79">
        <v>17600</v>
      </c>
      <c r="F174" s="79">
        <f>C174*E174</f>
        <v>2816000</v>
      </c>
    </row>
    <row r="175" spans="1:7">
      <c r="C175" s="2">
        <v>40</v>
      </c>
      <c r="D175" s="78" t="s">
        <v>298</v>
      </c>
      <c r="E175" s="79">
        <v>12600</v>
      </c>
      <c r="F175" s="79">
        <f t="shared" ref="F175:F176" si="10">C175*E175</f>
        <v>504000</v>
      </c>
    </row>
    <row r="176" spans="1:7">
      <c r="C176" s="2">
        <v>14</v>
      </c>
      <c r="D176" s="78" t="s">
        <v>299</v>
      </c>
      <c r="E176" s="79">
        <v>13900</v>
      </c>
      <c r="F176" s="79">
        <f t="shared" si="10"/>
        <v>194600</v>
      </c>
    </row>
    <row r="177" spans="1:7">
      <c r="E177" s="11" t="s">
        <v>28</v>
      </c>
      <c r="F177" s="10">
        <f>SUM(F173:F176)</f>
        <v>4178000</v>
      </c>
      <c r="G177" s="93">
        <v>45139</v>
      </c>
    </row>
    <row r="178" spans="1:7">
      <c r="B178" s="3">
        <v>45141</v>
      </c>
      <c r="C178" s="2">
        <v>20</v>
      </c>
      <c r="D178" s="78" t="s">
        <v>232</v>
      </c>
      <c r="E178" s="79">
        <v>23300</v>
      </c>
      <c r="F178" s="79">
        <f>C178*E178</f>
        <v>466000</v>
      </c>
    </row>
    <row r="179" spans="1:7">
      <c r="C179" s="2">
        <v>80</v>
      </c>
      <c r="D179" s="78" t="s">
        <v>300</v>
      </c>
      <c r="E179" s="79">
        <v>2200</v>
      </c>
      <c r="F179" s="79">
        <f>C179*E179</f>
        <v>176000</v>
      </c>
    </row>
    <row r="180" spans="1:7">
      <c r="B180" s="3">
        <v>45153</v>
      </c>
      <c r="C180" s="5">
        <v>74</v>
      </c>
      <c r="D180" s="5" t="s">
        <v>232</v>
      </c>
      <c r="E180" s="79">
        <v>23300</v>
      </c>
      <c r="F180" s="79">
        <f>C180*E180</f>
        <v>1724200</v>
      </c>
    </row>
    <row r="181" spans="1:7">
      <c r="C181" s="5">
        <v>296</v>
      </c>
      <c r="D181" s="5" t="s">
        <v>304</v>
      </c>
      <c r="E181" s="79">
        <v>2200</v>
      </c>
      <c r="F181" s="79">
        <f>C181*E181</f>
        <v>651200</v>
      </c>
    </row>
    <row r="182" spans="1:7">
      <c r="C182" s="5">
        <v>30</v>
      </c>
      <c r="D182" s="5" t="s">
        <v>301</v>
      </c>
      <c r="E182" s="79">
        <v>8500</v>
      </c>
      <c r="F182" s="79">
        <f>C182*E182</f>
        <v>255000</v>
      </c>
    </row>
    <row r="183" spans="1:7">
      <c r="F183" s="79">
        <v>-2000000</v>
      </c>
      <c r="G183" s="78" t="s">
        <v>305</v>
      </c>
    </row>
    <row r="184" spans="1:7">
      <c r="E184" s="11" t="s">
        <v>28</v>
      </c>
      <c r="F184" s="10">
        <f>SUM(F177:F183)</f>
        <v>5450400</v>
      </c>
      <c r="G184" s="93">
        <v>45153</v>
      </c>
    </row>
    <row r="185" spans="1:7">
      <c r="C185" s="2">
        <v>10</v>
      </c>
      <c r="D185" s="78" t="s">
        <v>306</v>
      </c>
      <c r="E185" s="79">
        <v>25000</v>
      </c>
      <c r="F185" s="79">
        <f>C185*E185</f>
        <v>250000</v>
      </c>
    </row>
    <row r="186" spans="1:7">
      <c r="A186" s="78" t="s">
        <v>307</v>
      </c>
      <c r="B186" s="3">
        <v>45174</v>
      </c>
      <c r="C186" s="78">
        <v>10</v>
      </c>
      <c r="D186" s="78" t="s">
        <v>16</v>
      </c>
      <c r="E186" s="79">
        <v>80000</v>
      </c>
      <c r="F186" s="79">
        <f>C186*E186</f>
        <v>800000</v>
      </c>
    </row>
    <row r="187" spans="1:7">
      <c r="E187" s="11" t="s">
        <v>28</v>
      </c>
      <c r="F187" s="10">
        <f>SUM(F184:F186)</f>
        <v>6500400</v>
      </c>
      <c r="G187" s="93">
        <v>45174</v>
      </c>
    </row>
    <row r="188" spans="1:7">
      <c r="A188" s="78" t="s">
        <v>308</v>
      </c>
      <c r="B188" s="3">
        <v>45188</v>
      </c>
      <c r="C188" s="78">
        <v>10</v>
      </c>
      <c r="D188" s="78" t="s">
        <v>16</v>
      </c>
      <c r="E188" s="79">
        <v>80000</v>
      </c>
      <c r="F188" s="79">
        <f>C188*E188</f>
        <v>800000</v>
      </c>
    </row>
    <row r="189" spans="1:7">
      <c r="B189" s="3">
        <v>45212</v>
      </c>
      <c r="F189" s="79">
        <v>-3000000</v>
      </c>
      <c r="G189" s="78" t="s">
        <v>309</v>
      </c>
    </row>
    <row r="190" spans="1:7">
      <c r="A190" s="78" t="s">
        <v>310</v>
      </c>
      <c r="C190" s="78">
        <v>10</v>
      </c>
      <c r="D190" s="78" t="s">
        <v>16</v>
      </c>
      <c r="E190" s="79">
        <v>80000</v>
      </c>
      <c r="F190" s="79">
        <f>C190*E190</f>
        <v>800000</v>
      </c>
    </row>
    <row r="191" spans="1:7">
      <c r="E191" s="11" t="s">
        <v>28</v>
      </c>
      <c r="F191" s="10">
        <f>SUM(F187:F190)</f>
        <v>5100400</v>
      </c>
      <c r="G191" s="93">
        <v>45212</v>
      </c>
    </row>
    <row r="192" spans="1:7">
      <c r="B192" s="3">
        <v>45258</v>
      </c>
      <c r="C192" s="2">
        <v>20</v>
      </c>
      <c r="D192" s="78" t="s">
        <v>312</v>
      </c>
      <c r="E192" s="79">
        <v>19100</v>
      </c>
      <c r="F192" s="79">
        <f>C192*E192</f>
        <v>382000</v>
      </c>
    </row>
    <row r="193" spans="1:13">
      <c r="C193" s="2">
        <v>20</v>
      </c>
      <c r="D193" s="78" t="s">
        <v>311</v>
      </c>
      <c r="E193" s="79">
        <v>18700</v>
      </c>
      <c r="F193" s="79">
        <f>C193*E193</f>
        <v>374000</v>
      </c>
    </row>
    <row r="194" spans="1:13">
      <c r="E194" s="11" t="s">
        <v>28</v>
      </c>
      <c r="F194" s="10">
        <f>SUM(F191:F193)</f>
        <v>5856400</v>
      </c>
      <c r="G194" s="93">
        <v>45258</v>
      </c>
    </row>
    <row r="195" spans="1:13">
      <c r="A195" s="78" t="s">
        <v>323</v>
      </c>
      <c r="B195" s="3">
        <v>45264</v>
      </c>
      <c r="C195" s="78">
        <v>10</v>
      </c>
      <c r="D195" s="78" t="s">
        <v>16</v>
      </c>
      <c r="E195" s="79">
        <v>80000</v>
      </c>
      <c r="F195" s="79">
        <f>C195*E195</f>
        <v>800000</v>
      </c>
    </row>
    <row r="196" spans="1:13">
      <c r="A196" s="78" t="s">
        <v>324</v>
      </c>
      <c r="B196" s="3">
        <v>45274</v>
      </c>
      <c r="C196" s="78">
        <v>20</v>
      </c>
      <c r="D196" s="78" t="s">
        <v>16</v>
      </c>
      <c r="E196" s="79">
        <v>80000</v>
      </c>
      <c r="F196" s="79">
        <f>C196*E196</f>
        <v>1600000</v>
      </c>
    </row>
    <row r="197" spans="1:13">
      <c r="A197" s="78"/>
      <c r="E197" s="11" t="s">
        <v>28</v>
      </c>
      <c r="F197" s="10">
        <f>SUM(F194:F196)</f>
        <v>8256400</v>
      </c>
      <c r="G197" s="93">
        <v>45274</v>
      </c>
    </row>
    <row r="198" spans="1:13">
      <c r="B198" s="3">
        <v>45314</v>
      </c>
      <c r="F198" s="79">
        <v>-1800000</v>
      </c>
      <c r="G198" s="78" t="s">
        <v>325</v>
      </c>
    </row>
    <row r="199" spans="1:13">
      <c r="E199" s="11" t="s">
        <v>28</v>
      </c>
      <c r="F199" s="10">
        <f>SUM(F197:F198)</f>
        <v>6456400</v>
      </c>
      <c r="G199" s="93">
        <v>45314</v>
      </c>
    </row>
    <row r="200" spans="1:13">
      <c r="F200" s="79">
        <v>-6456400</v>
      </c>
      <c r="G200" s="78" t="s">
        <v>332</v>
      </c>
    </row>
    <row r="201" spans="1:13">
      <c r="F201" s="79">
        <f>SUM(F199:F200)</f>
        <v>0</v>
      </c>
    </row>
    <row r="202" spans="1:13">
      <c r="A202" s="103"/>
      <c r="B202" s="103"/>
      <c r="C202" s="103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</row>
    <row r="205" spans="1:13">
      <c r="B205" s="3">
        <v>45363</v>
      </c>
      <c r="C205" s="2">
        <v>200</v>
      </c>
      <c r="D205" s="99" t="s">
        <v>360</v>
      </c>
      <c r="E205" s="78" t="s">
        <v>357</v>
      </c>
      <c r="F205" s="92">
        <v>7700</v>
      </c>
      <c r="G205" s="92">
        <f t="shared" ref="G205:G210" si="11">C205*F205</f>
        <v>1540000</v>
      </c>
    </row>
    <row r="206" spans="1:13">
      <c r="C206" s="2">
        <v>50</v>
      </c>
      <c r="D206" s="99" t="s">
        <v>362</v>
      </c>
      <c r="E206" s="78" t="s">
        <v>359</v>
      </c>
      <c r="F206" s="92">
        <v>8400</v>
      </c>
      <c r="G206" s="92">
        <f t="shared" si="11"/>
        <v>420000</v>
      </c>
    </row>
    <row r="207" spans="1:13">
      <c r="C207" s="2">
        <v>109</v>
      </c>
      <c r="D207" s="99" t="s">
        <v>326</v>
      </c>
      <c r="E207" s="78" t="s">
        <v>24</v>
      </c>
      <c r="F207" s="92">
        <v>11700</v>
      </c>
      <c r="G207" s="92">
        <f t="shared" si="11"/>
        <v>1275300</v>
      </c>
    </row>
    <row r="208" spans="1:13">
      <c r="C208" s="2">
        <v>300</v>
      </c>
      <c r="D208" s="99" t="s">
        <v>327</v>
      </c>
      <c r="E208" s="78" t="s">
        <v>26</v>
      </c>
      <c r="F208" s="92">
        <v>13400</v>
      </c>
      <c r="G208" s="92">
        <f t="shared" si="11"/>
        <v>4020000</v>
      </c>
    </row>
    <row r="209" spans="1:8">
      <c r="A209" s="78" t="s">
        <v>366</v>
      </c>
      <c r="C209" s="2">
        <v>30</v>
      </c>
      <c r="D209" s="99" t="s">
        <v>351</v>
      </c>
      <c r="E209" s="78" t="s">
        <v>352</v>
      </c>
      <c r="F209" s="92">
        <v>90000</v>
      </c>
      <c r="G209" s="92">
        <f t="shared" si="11"/>
        <v>2700000</v>
      </c>
    </row>
    <row r="210" spans="1:8">
      <c r="A210" s="3">
        <v>45400</v>
      </c>
      <c r="C210" s="78">
        <v>41</v>
      </c>
      <c r="E210" s="78" t="s">
        <v>275</v>
      </c>
      <c r="F210" s="92">
        <v>12100</v>
      </c>
      <c r="G210" s="92">
        <f t="shared" si="11"/>
        <v>496100</v>
      </c>
    </row>
    <row r="211" spans="1:8">
      <c r="B211" s="3">
        <v>45404</v>
      </c>
      <c r="F211" s="92"/>
      <c r="G211" s="92">
        <v>-2000000</v>
      </c>
      <c r="H211" s="78" t="s">
        <v>367</v>
      </c>
    </row>
    <row r="212" spans="1:8">
      <c r="B212" s="3">
        <v>45419</v>
      </c>
      <c r="C212" s="2">
        <v>250</v>
      </c>
      <c r="E212" s="78" t="s">
        <v>368</v>
      </c>
      <c r="F212" s="92">
        <v>5900</v>
      </c>
      <c r="G212" s="92">
        <f>C212*F212</f>
        <v>1475000</v>
      </c>
    </row>
    <row r="213" spans="1:8">
      <c r="B213" s="3">
        <v>45432</v>
      </c>
      <c r="C213" s="2">
        <v>110</v>
      </c>
      <c r="E213" s="78" t="s">
        <v>223</v>
      </c>
      <c r="F213" s="6">
        <v>18100</v>
      </c>
      <c r="G213" s="104">
        <f>C213*F213</f>
        <v>1991000</v>
      </c>
    </row>
    <row r="214" spans="1:8">
      <c r="A214" s="78" t="s">
        <v>369</v>
      </c>
      <c r="C214" s="2">
        <v>10</v>
      </c>
      <c r="D214" s="99" t="s">
        <v>351</v>
      </c>
      <c r="E214" s="78" t="s">
        <v>352</v>
      </c>
      <c r="F214" s="92">
        <v>90000</v>
      </c>
      <c r="G214" s="92">
        <f>C214*F214</f>
        <v>900000</v>
      </c>
    </row>
    <row r="215" spans="1:8">
      <c r="F215" s="92"/>
      <c r="G215" s="92">
        <v>-2000000</v>
      </c>
      <c r="H215" s="78" t="s">
        <v>367</v>
      </c>
    </row>
    <row r="216" spans="1:8">
      <c r="B216" s="3">
        <v>45440</v>
      </c>
      <c r="G216" s="92">
        <v>-2000000</v>
      </c>
      <c r="H216" s="78" t="s">
        <v>367</v>
      </c>
    </row>
    <row r="217" spans="1:8">
      <c r="B217" s="3">
        <v>45454</v>
      </c>
      <c r="C217" s="2">
        <v>109</v>
      </c>
      <c r="E217" s="78" t="s">
        <v>370</v>
      </c>
      <c r="F217" s="92">
        <v>17300</v>
      </c>
      <c r="G217" s="104">
        <f>C217*F217</f>
        <v>1885700</v>
      </c>
    </row>
    <row r="218" spans="1:8">
      <c r="C218" s="2">
        <v>42</v>
      </c>
      <c r="E218" s="78" t="s">
        <v>371</v>
      </c>
      <c r="F218" s="92">
        <v>16400</v>
      </c>
      <c r="G218" s="104">
        <f>C218*F218</f>
        <v>688800</v>
      </c>
    </row>
    <row r="219" spans="1:8">
      <c r="C219" s="2">
        <v>56</v>
      </c>
      <c r="D219" s="99" t="s">
        <v>326</v>
      </c>
      <c r="E219" s="78" t="s">
        <v>372</v>
      </c>
      <c r="F219" s="92">
        <v>10500</v>
      </c>
      <c r="G219" s="104">
        <f>C219*F219</f>
        <v>588000</v>
      </c>
    </row>
    <row r="220" spans="1:8">
      <c r="C220" s="2">
        <v>56</v>
      </c>
      <c r="D220" s="99" t="s">
        <v>326</v>
      </c>
      <c r="E220" s="78" t="s">
        <v>373</v>
      </c>
      <c r="F220" s="92">
        <v>10500</v>
      </c>
      <c r="G220" s="92">
        <f>C220*F220</f>
        <v>588000</v>
      </c>
    </row>
    <row r="221" spans="1:8">
      <c r="A221" s="78" t="s">
        <v>374</v>
      </c>
      <c r="B221" s="3">
        <v>45483</v>
      </c>
      <c r="C221" s="78">
        <v>10</v>
      </c>
      <c r="D221" s="99" t="s">
        <v>351</v>
      </c>
      <c r="E221" s="78" t="s">
        <v>352</v>
      </c>
      <c r="F221" s="92">
        <v>90000</v>
      </c>
      <c r="G221" s="92">
        <f>C221*F221</f>
        <v>900000</v>
      </c>
    </row>
    <row r="222" spans="1:8">
      <c r="B222" s="3">
        <v>45492</v>
      </c>
      <c r="F222" s="92"/>
      <c r="G222" s="92">
        <v>-7000000</v>
      </c>
      <c r="H222" s="78" t="s">
        <v>375</v>
      </c>
    </row>
    <row r="223" spans="1:8">
      <c r="B223" s="105">
        <v>45505</v>
      </c>
      <c r="C223" s="2">
        <v>20</v>
      </c>
      <c r="D223" s="99" t="s">
        <v>361</v>
      </c>
      <c r="E223" s="78" t="s">
        <v>358</v>
      </c>
      <c r="F223" s="92">
        <v>8200</v>
      </c>
      <c r="G223" s="92">
        <f>C223*F223</f>
        <v>164000</v>
      </c>
    </row>
    <row r="224" spans="1:8">
      <c r="C224" s="2">
        <v>20</v>
      </c>
      <c r="D224" s="78"/>
      <c r="E224" s="78" t="s">
        <v>376</v>
      </c>
      <c r="F224" s="92">
        <v>8400</v>
      </c>
      <c r="G224" s="92">
        <f>C224*F224</f>
        <v>168000</v>
      </c>
    </row>
    <row r="225" spans="1:9">
      <c r="B225" s="3">
        <v>45531</v>
      </c>
      <c r="C225" s="2">
        <v>90</v>
      </c>
      <c r="E225" s="78" t="s">
        <v>377</v>
      </c>
      <c r="F225" s="92">
        <v>10700</v>
      </c>
      <c r="G225" s="92">
        <f>C225*F225</f>
        <v>963000</v>
      </c>
    </row>
    <row r="226" spans="1:9">
      <c r="B226" s="3">
        <v>45537</v>
      </c>
      <c r="C226" s="2">
        <v>120</v>
      </c>
      <c r="E226" s="78" t="s">
        <v>378</v>
      </c>
      <c r="F226" s="92">
        <v>9600</v>
      </c>
      <c r="G226" s="92">
        <f>C226*F226</f>
        <v>1152000</v>
      </c>
    </row>
    <row r="227" spans="1:9">
      <c r="B227" s="3">
        <v>45546</v>
      </c>
      <c r="F227" s="92"/>
      <c r="G227" s="92">
        <v>-4000000</v>
      </c>
      <c r="H227" s="78" t="s">
        <v>367</v>
      </c>
    </row>
    <row r="228" spans="1:9" s="78" customFormat="1">
      <c r="B228" s="3"/>
      <c r="F228" s="92"/>
      <c r="G228" s="107">
        <f>SUM(G205:G227)</f>
        <v>4914900</v>
      </c>
    </row>
    <row r="229" spans="1:9">
      <c r="B229" s="3">
        <v>45567</v>
      </c>
      <c r="C229" s="2">
        <v>48</v>
      </c>
      <c r="D229" s="78" t="s">
        <v>242</v>
      </c>
      <c r="F229" s="92">
        <v>9900</v>
      </c>
      <c r="G229" s="104">
        <f>C229*F229</f>
        <v>475200</v>
      </c>
      <c r="H229" s="106"/>
    </row>
    <row r="230" spans="1:9">
      <c r="A230" s="78" t="s">
        <v>379</v>
      </c>
      <c r="B230" s="3">
        <v>45583</v>
      </c>
      <c r="C230" s="2">
        <v>10</v>
      </c>
      <c r="D230" s="99" t="s">
        <v>351</v>
      </c>
      <c r="E230" s="78" t="s">
        <v>352</v>
      </c>
      <c r="F230" s="92">
        <v>90000</v>
      </c>
      <c r="G230" s="92">
        <f>C230*F230</f>
        <v>900000</v>
      </c>
    </row>
    <row r="231" spans="1:9">
      <c r="B231" s="3">
        <v>45587</v>
      </c>
      <c r="C231" s="2">
        <v>82</v>
      </c>
      <c r="D231" s="78" t="s">
        <v>230</v>
      </c>
      <c r="E231" s="78" t="s">
        <v>380</v>
      </c>
      <c r="F231" s="92">
        <v>16100</v>
      </c>
      <c r="G231" s="104">
        <f t="shared" ref="G231:G235" si="12">C231*F231</f>
        <v>1320200</v>
      </c>
    </row>
    <row r="232" spans="1:9">
      <c r="B232" s="3">
        <v>45590</v>
      </c>
      <c r="C232" s="2">
        <v>82</v>
      </c>
      <c r="D232" s="78" t="s">
        <v>223</v>
      </c>
      <c r="E232" s="78" t="s">
        <v>381</v>
      </c>
      <c r="F232" s="92">
        <v>17600</v>
      </c>
      <c r="G232" s="92">
        <f t="shared" si="12"/>
        <v>1443200</v>
      </c>
    </row>
    <row r="233" spans="1:9">
      <c r="B233" s="3">
        <v>45590</v>
      </c>
      <c r="C233" s="2">
        <v>40</v>
      </c>
      <c r="D233" s="78" t="s">
        <v>382</v>
      </c>
      <c r="F233" s="92">
        <v>12900</v>
      </c>
      <c r="G233" s="104">
        <f t="shared" si="12"/>
        <v>516000</v>
      </c>
    </row>
    <row r="234" spans="1:9">
      <c r="B234" s="3">
        <v>45625</v>
      </c>
      <c r="C234" s="2">
        <v>20</v>
      </c>
      <c r="D234" s="78" t="s">
        <v>383</v>
      </c>
      <c r="F234" s="92">
        <v>16600</v>
      </c>
      <c r="G234" s="104">
        <f t="shared" si="12"/>
        <v>332000</v>
      </c>
    </row>
    <row r="235" spans="1:9">
      <c r="B235" s="3">
        <v>45625</v>
      </c>
      <c r="C235" s="2">
        <v>21</v>
      </c>
      <c r="D235" s="78" t="s">
        <v>384</v>
      </c>
      <c r="F235" s="92">
        <v>18000</v>
      </c>
      <c r="G235" s="92">
        <f t="shared" si="12"/>
        <v>378000</v>
      </c>
    </row>
    <row r="236" spans="1:9">
      <c r="B236" s="3">
        <v>45625</v>
      </c>
      <c r="G236" s="92">
        <v>-4000000</v>
      </c>
      <c r="H236" s="78" t="s">
        <v>385</v>
      </c>
    </row>
    <row r="237" spans="1:9">
      <c r="F237" s="11" t="s">
        <v>28</v>
      </c>
      <c r="G237" s="109">
        <f>SUM(G228:G236)</f>
        <v>6279500</v>
      </c>
      <c r="H237" s="93">
        <v>45625</v>
      </c>
    </row>
    <row r="238" spans="1:9">
      <c r="B238" s="3">
        <v>45639</v>
      </c>
      <c r="C238" s="2">
        <v>2</v>
      </c>
      <c r="D238" s="78" t="s">
        <v>388</v>
      </c>
      <c r="F238" s="108">
        <v>80000</v>
      </c>
      <c r="G238" s="108">
        <f>C238*F238</f>
        <v>160000</v>
      </c>
      <c r="I238" s="78" t="s">
        <v>390</v>
      </c>
    </row>
    <row r="239" spans="1:9">
      <c r="B239" s="3">
        <v>45645</v>
      </c>
      <c r="C239" s="78">
        <v>240</v>
      </c>
      <c r="D239" s="78" t="s">
        <v>386</v>
      </c>
      <c r="F239" s="79">
        <v>2200</v>
      </c>
      <c r="G239" s="108">
        <f>C239*F239</f>
        <v>528000</v>
      </c>
    </row>
    <row r="240" spans="1:9">
      <c r="C240" s="5">
        <v>60</v>
      </c>
      <c r="D240" s="5" t="s">
        <v>232</v>
      </c>
      <c r="F240" s="79">
        <v>27500</v>
      </c>
      <c r="G240" s="108">
        <f>C240*F240</f>
        <v>1650000</v>
      </c>
      <c r="H240" s="11" t="s">
        <v>387</v>
      </c>
    </row>
    <row r="241" spans="1:9">
      <c r="B241" s="106">
        <v>45687</v>
      </c>
      <c r="C241" s="5">
        <v>12</v>
      </c>
      <c r="D241" s="78" t="s">
        <v>389</v>
      </c>
      <c r="F241" s="108">
        <v>40000</v>
      </c>
      <c r="G241" s="108">
        <f>C241*F241</f>
        <v>480000</v>
      </c>
      <c r="I241" s="78" t="s">
        <v>392</v>
      </c>
    </row>
    <row r="242" spans="1:9">
      <c r="B242" s="3">
        <v>45727</v>
      </c>
      <c r="C242" s="78">
        <v>2</v>
      </c>
      <c r="D242" s="78" t="s">
        <v>388</v>
      </c>
      <c r="F242" s="108">
        <v>60000</v>
      </c>
      <c r="G242" s="108">
        <f>C242*F242</f>
        <v>120000</v>
      </c>
      <c r="I242" s="78" t="s">
        <v>391</v>
      </c>
    </row>
    <row r="243" spans="1:9">
      <c r="G243" s="107">
        <f>SUM(G237:G242)</f>
        <v>9217500</v>
      </c>
    </row>
    <row r="244" spans="1:9">
      <c r="B244" s="3">
        <v>45737</v>
      </c>
      <c r="G244" s="108">
        <v>-5000000</v>
      </c>
      <c r="H244" s="78" t="s">
        <v>367</v>
      </c>
    </row>
    <row r="245" spans="1:9">
      <c r="B245" s="3">
        <v>45756</v>
      </c>
      <c r="C245" s="2">
        <v>20</v>
      </c>
      <c r="D245" s="78" t="s">
        <v>393</v>
      </c>
      <c r="F245" s="108">
        <v>40000</v>
      </c>
      <c r="G245" s="108">
        <f>C245*F245</f>
        <v>800000</v>
      </c>
    </row>
    <row r="246" spans="1:9">
      <c r="A246" s="78" t="s">
        <v>394</v>
      </c>
      <c r="B246" s="3">
        <v>45756</v>
      </c>
      <c r="C246" s="2">
        <v>10</v>
      </c>
      <c r="D246" s="99" t="s">
        <v>351</v>
      </c>
      <c r="E246" s="78" t="s">
        <v>352</v>
      </c>
      <c r="F246" s="92">
        <v>90000</v>
      </c>
      <c r="G246" s="108">
        <f>C246*F246</f>
        <v>900000</v>
      </c>
    </row>
    <row r="247" spans="1:9">
      <c r="F247" s="11" t="s">
        <v>28</v>
      </c>
      <c r="G247" s="110">
        <f>SUM(G243:G246)</f>
        <v>5917500</v>
      </c>
      <c r="H247" s="93">
        <v>45756</v>
      </c>
    </row>
    <row r="248" spans="1:9">
      <c r="B248" s="3">
        <v>45798</v>
      </c>
      <c r="C248" s="2">
        <v>72</v>
      </c>
      <c r="D248" s="78" t="s">
        <v>393</v>
      </c>
      <c r="F248" s="108">
        <v>40000</v>
      </c>
      <c r="G248" s="108">
        <f>C248*F248</f>
        <v>2880000</v>
      </c>
    </row>
    <row r="249" spans="1:9">
      <c r="B249" s="3">
        <v>45798</v>
      </c>
      <c r="C249" s="2">
        <v>100</v>
      </c>
      <c r="D249" s="78" t="s">
        <v>223</v>
      </c>
      <c r="E249" s="78" t="s">
        <v>381</v>
      </c>
      <c r="F249" s="111">
        <v>17900</v>
      </c>
      <c r="G249" s="108">
        <f>C249*F249</f>
        <v>1790000</v>
      </c>
    </row>
    <row r="250" spans="1:9">
      <c r="B250" s="3">
        <v>45798</v>
      </c>
      <c r="C250" s="2">
        <v>50</v>
      </c>
      <c r="D250" s="78" t="s">
        <v>222</v>
      </c>
      <c r="F250" s="111">
        <v>13500</v>
      </c>
      <c r="G250" s="108">
        <f>C250*F250</f>
        <v>675000</v>
      </c>
    </row>
    <row r="251" spans="1:9">
      <c r="A251" s="78" t="s">
        <v>395</v>
      </c>
      <c r="B251" s="3">
        <v>45798</v>
      </c>
      <c r="C251" s="2">
        <v>20</v>
      </c>
      <c r="D251" s="99" t="s">
        <v>351</v>
      </c>
      <c r="E251" s="78" t="s">
        <v>352</v>
      </c>
      <c r="F251" s="92">
        <v>90000</v>
      </c>
      <c r="G251" s="112">
        <f>C251*F251</f>
        <v>1800000</v>
      </c>
    </row>
    <row r="252" spans="1:9">
      <c r="B252" s="3">
        <v>45798</v>
      </c>
      <c r="G252" s="108">
        <v>-4000000</v>
      </c>
      <c r="H252" s="78" t="s">
        <v>375</v>
      </c>
    </row>
    <row r="253" spans="1:9">
      <c r="F253" s="11" t="s">
        <v>28</v>
      </c>
      <c r="G253" s="110">
        <f>SUM(G247:G252)</f>
        <v>9062500</v>
      </c>
    </row>
    <row r="254" spans="1:9">
      <c r="B254" s="3">
        <v>45905</v>
      </c>
      <c r="C254" s="2">
        <v>1</v>
      </c>
      <c r="D254" s="78" t="s">
        <v>396</v>
      </c>
      <c r="F254" s="2">
        <v>45000</v>
      </c>
      <c r="G254" s="21">
        <f>C254*F254</f>
        <v>45000</v>
      </c>
    </row>
    <row r="255" spans="1:9">
      <c r="A255" s="78" t="s">
        <v>397</v>
      </c>
      <c r="B255" s="3">
        <v>45945</v>
      </c>
      <c r="C255" s="78">
        <v>10</v>
      </c>
      <c r="D255" s="99" t="s">
        <v>351</v>
      </c>
      <c r="E255" s="78" t="s">
        <v>352</v>
      </c>
      <c r="F255" s="92">
        <v>90000</v>
      </c>
      <c r="G255" s="92">
        <f>C255*F255</f>
        <v>900000</v>
      </c>
    </row>
    <row r="256" spans="1:9">
      <c r="F256" s="11" t="s">
        <v>28</v>
      </c>
      <c r="G256" s="110">
        <f>SUM(G253:G255)</f>
        <v>10007500</v>
      </c>
    </row>
    <row r="257" spans="2:8">
      <c r="B257" s="3">
        <v>45959</v>
      </c>
      <c r="G257" s="108">
        <v>-1000000</v>
      </c>
      <c r="H257" s="78" t="s">
        <v>375</v>
      </c>
    </row>
  </sheetData>
  <mergeCells count="1">
    <mergeCell ref="G5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2:AH114"/>
  <sheetViews>
    <sheetView topLeftCell="H37" workbookViewId="0">
      <selection activeCell="X53" sqref="X53"/>
    </sheetView>
  </sheetViews>
  <sheetFormatPr baseColWidth="10" defaultRowHeight="12"/>
  <cols>
    <col min="1" max="1" width="1.5703125" style="78" customWidth="1"/>
    <col min="2" max="2" width="22.5703125" style="78" customWidth="1"/>
    <col min="3" max="3" width="36" style="78" bestFit="1" customWidth="1"/>
    <col min="4" max="4" width="9.5703125" style="78" bestFit="1" customWidth="1"/>
    <col min="5" max="5" width="11.5703125" style="78" bestFit="1" customWidth="1"/>
    <col min="6" max="7" width="9.42578125" style="78" bestFit="1" customWidth="1"/>
    <col min="8" max="8" width="29.85546875" style="78" bestFit="1" customWidth="1"/>
    <col min="9" max="9" width="24" style="78" bestFit="1" customWidth="1"/>
    <col min="10" max="10" width="24.5703125" style="78" bestFit="1" customWidth="1"/>
    <col min="11" max="11" width="28.42578125" style="78" bestFit="1" customWidth="1"/>
    <col min="12" max="12" width="9" style="78" bestFit="1" customWidth="1"/>
    <col min="13" max="13" width="5.28515625" style="78" customWidth="1"/>
    <col min="14" max="14" width="4.85546875" style="78" bestFit="1" customWidth="1"/>
    <col min="15" max="15" width="6" style="78" bestFit="1" customWidth="1"/>
    <col min="16" max="16" width="6.7109375" style="78" bestFit="1" customWidth="1"/>
    <col min="17" max="17" width="6.140625" style="78" bestFit="1" customWidth="1"/>
    <col min="18" max="18" width="7" style="78" bestFit="1" customWidth="1"/>
    <col min="19" max="19" width="8.5703125" style="78" customWidth="1"/>
    <col min="20" max="20" width="8" style="78" customWidth="1"/>
    <col min="21" max="21" width="7.85546875" style="78" bestFit="1" customWidth="1"/>
    <col min="22" max="22" width="7.5703125" style="78" bestFit="1" customWidth="1"/>
    <col min="23" max="23" width="12.28515625" style="78" bestFit="1" customWidth="1"/>
    <col min="24" max="24" width="7.5703125" style="78" bestFit="1" customWidth="1"/>
    <col min="25" max="25" width="2.7109375" style="78" bestFit="1" customWidth="1"/>
    <col min="26" max="26" width="4.85546875" style="78" bestFit="1" customWidth="1"/>
    <col min="27" max="27" width="9" style="78" bestFit="1" customWidth="1"/>
    <col min="28" max="28" width="6.7109375" style="78" bestFit="1" customWidth="1"/>
    <col min="29" max="29" width="6.140625" style="78" bestFit="1" customWidth="1"/>
    <col min="30" max="30" width="7.5703125" style="78" bestFit="1" customWidth="1"/>
    <col min="31" max="31" width="7.7109375" style="78" customWidth="1"/>
    <col min="32" max="32" width="9.140625" style="78" customWidth="1"/>
    <col min="33" max="33" width="9.85546875" style="78" customWidth="1"/>
    <col min="34" max="16384" width="11.42578125" style="78"/>
  </cols>
  <sheetData>
    <row r="2" spans="3:20">
      <c r="H2" s="78" t="s">
        <v>353</v>
      </c>
      <c r="I2" s="78" t="s">
        <v>354</v>
      </c>
      <c r="K2" s="78" t="s">
        <v>356</v>
      </c>
      <c r="L2" s="78" t="s">
        <v>363</v>
      </c>
      <c r="M2" s="55" t="s">
        <v>136</v>
      </c>
      <c r="N2" s="55" t="s">
        <v>137</v>
      </c>
      <c r="O2" s="22" t="s">
        <v>160</v>
      </c>
      <c r="P2" s="22" t="s">
        <v>81</v>
      </c>
      <c r="Q2" s="22" t="s">
        <v>82</v>
      </c>
      <c r="R2" s="22" t="s">
        <v>135</v>
      </c>
      <c r="S2" s="55" t="s">
        <v>55</v>
      </c>
      <c r="T2" s="22" t="s">
        <v>161</v>
      </c>
    </row>
    <row r="3" spans="3:20">
      <c r="D3" s="78" t="s">
        <v>344</v>
      </c>
    </row>
    <row r="4" spans="3:20">
      <c r="C4" s="78" t="s">
        <v>340</v>
      </c>
      <c r="D4" s="79">
        <v>8500</v>
      </c>
      <c r="H4" s="99" t="s">
        <v>351</v>
      </c>
      <c r="I4" s="78" t="s">
        <v>352</v>
      </c>
      <c r="J4" s="78" t="s">
        <v>212</v>
      </c>
      <c r="K4" s="9" t="s">
        <v>337</v>
      </c>
      <c r="L4" s="9"/>
    </row>
    <row r="5" spans="3:20">
      <c r="C5" s="78" t="s">
        <v>345</v>
      </c>
      <c r="D5" s="79">
        <v>17000</v>
      </c>
      <c r="J5" s="78" t="s">
        <v>334</v>
      </c>
      <c r="K5" s="9" t="s">
        <v>338</v>
      </c>
      <c r="L5" s="9"/>
    </row>
    <row r="6" spans="3:20">
      <c r="C6" s="78" t="s">
        <v>346</v>
      </c>
      <c r="D6" s="79">
        <v>24400</v>
      </c>
      <c r="J6" s="78" t="s">
        <v>213</v>
      </c>
      <c r="K6" s="78" t="s">
        <v>355</v>
      </c>
    </row>
    <row r="7" spans="3:20">
      <c r="C7" s="78" t="s">
        <v>347</v>
      </c>
      <c r="D7" s="79">
        <v>25000</v>
      </c>
      <c r="M7" s="78" t="s">
        <v>249</v>
      </c>
      <c r="N7" s="78" t="s">
        <v>250</v>
      </c>
    </row>
    <row r="8" spans="3:20">
      <c r="C8" s="78" t="s">
        <v>348</v>
      </c>
      <c r="D8" s="79">
        <v>27100</v>
      </c>
      <c r="H8" s="99" t="s">
        <v>326</v>
      </c>
      <c r="I8" s="78" t="s">
        <v>24</v>
      </c>
      <c r="K8" s="78" t="s">
        <v>364</v>
      </c>
      <c r="L8" s="78">
        <v>18</v>
      </c>
      <c r="M8" s="20">
        <v>8.3333333333333329E-2</v>
      </c>
      <c r="N8" s="20">
        <v>0.125</v>
      </c>
      <c r="O8" s="20">
        <f>M8+N8</f>
        <v>0.20833333333333331</v>
      </c>
      <c r="P8" s="20">
        <v>8.3333333333333329E-2</v>
      </c>
      <c r="Q8" s="20">
        <f>O8+P8</f>
        <v>0.29166666666666663</v>
      </c>
      <c r="R8" s="21">
        <f>(Q8*24)*1333</f>
        <v>9330.9999999999982</v>
      </c>
      <c r="S8" s="79">
        <f>D10/L8</f>
        <v>2277.7777777777778</v>
      </c>
      <c r="T8" s="21">
        <f>ROUNDUP((R8+S8), -2)</f>
        <v>11700</v>
      </c>
    </row>
    <row r="9" spans="3:20">
      <c r="C9" s="78" t="s">
        <v>349</v>
      </c>
      <c r="D9" s="79"/>
      <c r="H9" s="99" t="s">
        <v>327</v>
      </c>
      <c r="I9" s="78" t="s">
        <v>26</v>
      </c>
      <c r="K9" s="78" t="s">
        <v>365</v>
      </c>
      <c r="L9" s="78">
        <v>15</v>
      </c>
      <c r="M9" s="20">
        <v>8.3333333333333329E-2</v>
      </c>
      <c r="N9" s="20">
        <v>0.16666666666666666</v>
      </c>
      <c r="O9" s="20">
        <f t="shared" ref="O9:O10" si="0">M9+N9</f>
        <v>0.25</v>
      </c>
      <c r="P9" s="20">
        <v>8.3333333333333329E-2</v>
      </c>
      <c r="Q9" s="20">
        <f t="shared" ref="Q9:Q10" si="1">O9+P9</f>
        <v>0.33333333333333331</v>
      </c>
      <c r="R9" s="21">
        <f t="shared" ref="R9:R10" si="2">(Q9*24)*1333</f>
        <v>10664</v>
      </c>
      <c r="S9" s="79">
        <f>D10/L9</f>
        <v>2733.3333333333335</v>
      </c>
      <c r="T9" s="21">
        <f t="shared" ref="T9:T10" si="3">ROUNDUP((R9+S9), -2)</f>
        <v>13400</v>
      </c>
    </row>
    <row r="10" spans="3:20">
      <c r="C10" s="78" t="s">
        <v>341</v>
      </c>
      <c r="D10" s="79">
        <v>41000</v>
      </c>
      <c r="H10" s="99"/>
      <c r="I10" s="78" t="s">
        <v>331</v>
      </c>
      <c r="K10" s="78" t="s">
        <v>365</v>
      </c>
      <c r="L10" s="78">
        <v>15</v>
      </c>
      <c r="M10" s="20">
        <v>0.125</v>
      </c>
      <c r="N10" s="20">
        <v>0.16666666666666666</v>
      </c>
      <c r="O10" s="20">
        <f t="shared" si="0"/>
        <v>0.29166666666666663</v>
      </c>
      <c r="P10" s="20">
        <v>8.3333333333333329E-2</v>
      </c>
      <c r="Q10" s="20">
        <f t="shared" si="1"/>
        <v>0.37499999999999994</v>
      </c>
      <c r="R10" s="21">
        <f t="shared" si="2"/>
        <v>11996.999999999998</v>
      </c>
      <c r="S10" s="79">
        <f>D10/L10</f>
        <v>2733.3333333333335</v>
      </c>
      <c r="T10" s="21">
        <f t="shared" si="3"/>
        <v>14800</v>
      </c>
    </row>
    <row r="11" spans="3:20">
      <c r="C11" s="78" t="s">
        <v>342</v>
      </c>
      <c r="D11" s="79">
        <v>51000</v>
      </c>
    </row>
    <row r="12" spans="3:20">
      <c r="C12" s="78" t="s">
        <v>350</v>
      </c>
      <c r="D12" s="79">
        <v>258016</v>
      </c>
      <c r="H12" s="99" t="s">
        <v>360</v>
      </c>
      <c r="I12" s="78" t="s">
        <v>357</v>
      </c>
      <c r="L12" s="78">
        <v>9</v>
      </c>
      <c r="M12" s="20">
        <v>4.1666666666666664E-2</v>
      </c>
      <c r="N12" s="20">
        <v>8.3333333333333329E-2</v>
      </c>
      <c r="O12" s="20">
        <f>M12+N12</f>
        <v>0.125</v>
      </c>
      <c r="P12" s="20">
        <v>8.3333333333333329E-2</v>
      </c>
      <c r="Q12" s="20">
        <f>O12+P12</f>
        <v>0.20833333333333331</v>
      </c>
      <c r="R12" s="21">
        <f>(Q12*24)*1333</f>
        <v>6665</v>
      </c>
      <c r="S12" s="79">
        <f>D4/L12</f>
        <v>944.44444444444446</v>
      </c>
      <c r="T12" s="21">
        <f>ROUNDUP((R12+S12), -2)</f>
        <v>7700</v>
      </c>
    </row>
    <row r="13" spans="3:20">
      <c r="C13" s="78" t="s">
        <v>343</v>
      </c>
      <c r="D13" s="79">
        <v>57000</v>
      </c>
      <c r="H13" s="99" t="s">
        <v>361</v>
      </c>
      <c r="I13" s="78" t="s">
        <v>358</v>
      </c>
      <c r="L13" s="78">
        <v>6</v>
      </c>
      <c r="M13" s="20">
        <v>4.1666666666666664E-2</v>
      </c>
      <c r="N13" s="20">
        <v>8.3333333333333329E-2</v>
      </c>
      <c r="O13" s="20">
        <f t="shared" ref="O13:O14" si="4">M13+N13</f>
        <v>0.125</v>
      </c>
      <c r="P13" s="20">
        <v>8.3333333333333329E-2</v>
      </c>
      <c r="Q13" s="20">
        <f t="shared" ref="Q13:Q14" si="5">O13+P13</f>
        <v>0.20833333333333331</v>
      </c>
      <c r="R13" s="21">
        <f t="shared" ref="R13:R14" si="6">(Q13*24)*1333</f>
        <v>6665</v>
      </c>
      <c r="S13" s="79">
        <f>D4/L13</f>
        <v>1416.6666666666667</v>
      </c>
      <c r="T13" s="21">
        <f t="shared" ref="T13:T14" si="7">ROUNDUP((R13+S13), -2)</f>
        <v>8100</v>
      </c>
    </row>
    <row r="14" spans="3:20">
      <c r="H14" s="99" t="s">
        <v>362</v>
      </c>
      <c r="I14" s="78" t="s">
        <v>359</v>
      </c>
      <c r="L14" s="78">
        <v>5</v>
      </c>
      <c r="M14" s="20">
        <v>4.1666666666666664E-2</v>
      </c>
      <c r="N14" s="20">
        <v>8.3333333333333329E-2</v>
      </c>
      <c r="O14" s="20">
        <f t="shared" si="4"/>
        <v>0.125</v>
      </c>
      <c r="P14" s="20">
        <v>8.3333333333333329E-2</v>
      </c>
      <c r="Q14" s="20">
        <f t="shared" si="5"/>
        <v>0.20833333333333331</v>
      </c>
      <c r="R14" s="21">
        <f t="shared" si="6"/>
        <v>6665</v>
      </c>
      <c r="S14" s="79">
        <f>D4/L14</f>
        <v>1700</v>
      </c>
      <c r="T14" s="21">
        <f t="shared" si="7"/>
        <v>8400</v>
      </c>
    </row>
    <row r="27" spans="3:34" ht="12.75" thickBot="1">
      <c r="K27" s="114" t="s">
        <v>151</v>
      </c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</row>
    <row r="28" spans="3:34" ht="12.75" customHeight="1" thickBot="1">
      <c r="C28" s="116" t="s">
        <v>125</v>
      </c>
      <c r="D28" s="117"/>
      <c r="E28" s="118"/>
      <c r="K28" s="55" t="s">
        <v>138</v>
      </c>
      <c r="L28" s="55"/>
      <c r="M28" s="55" t="s">
        <v>136</v>
      </c>
      <c r="N28" s="55" t="s">
        <v>137</v>
      </c>
      <c r="O28" s="22" t="s">
        <v>160</v>
      </c>
      <c r="P28" s="22" t="s">
        <v>81</v>
      </c>
      <c r="Q28" s="22" t="s">
        <v>82</v>
      </c>
      <c r="R28" s="22" t="s">
        <v>135</v>
      </c>
      <c r="S28" s="22" t="s">
        <v>265</v>
      </c>
      <c r="T28" s="22" t="s">
        <v>330</v>
      </c>
      <c r="U28" s="22" t="s">
        <v>55</v>
      </c>
      <c r="V28" s="22" t="s">
        <v>161</v>
      </c>
      <c r="W28" s="5"/>
      <c r="X28" s="5"/>
      <c r="Y28" s="5"/>
      <c r="Z28" s="5"/>
      <c r="AA28" s="58"/>
      <c r="AB28" s="58"/>
      <c r="AC28" s="58"/>
      <c r="AD28" s="58"/>
      <c r="AE28" s="58"/>
      <c r="AF28" s="58"/>
      <c r="AG28" s="58"/>
      <c r="AH28" s="5"/>
    </row>
    <row r="29" spans="3:34" ht="12.75" thickBot="1">
      <c r="C29" s="30"/>
      <c r="D29" s="36" t="s">
        <v>35</v>
      </c>
      <c r="E29" s="35" t="s">
        <v>36</v>
      </c>
      <c r="K29" s="100" t="s">
        <v>140</v>
      </c>
      <c r="L29" s="102"/>
      <c r="M29" s="20">
        <v>0.19583333333333333</v>
      </c>
      <c r="N29" s="59">
        <v>6.805555555555555E-2</v>
      </c>
      <c r="O29" s="20">
        <f t="shared" ref="O29:O31" si="8">M29+N29</f>
        <v>0.2638888888888889</v>
      </c>
      <c r="P29" s="20">
        <v>0.16666666666666666</v>
      </c>
      <c r="Q29" s="20">
        <f t="shared" ref="Q29:Q31" si="9">O29+P29</f>
        <v>0.43055555555555558</v>
      </c>
      <c r="R29" s="21">
        <f t="shared" ref="R29:R32" si="10">(Q29*24)*1000</f>
        <v>10333.333333333334</v>
      </c>
      <c r="S29" s="21">
        <f>R29*1.17</f>
        <v>12090</v>
      </c>
      <c r="T29" s="95">
        <f>(Q29*24)*1333</f>
        <v>13774.333333333334</v>
      </c>
      <c r="U29" s="79">
        <f>F41</f>
        <v>3253.3333333333335</v>
      </c>
      <c r="V29" s="21">
        <f>ROUNDUP((S29+U29), -2)</f>
        <v>15400</v>
      </c>
      <c r="W29" s="95"/>
      <c r="X29" s="21">
        <f>ROUNDUP((T29+U29), -2)</f>
        <v>17100</v>
      </c>
      <c r="Y29" s="101"/>
      <c r="Z29" s="101"/>
      <c r="AA29" s="5"/>
      <c r="AB29" s="5"/>
      <c r="AC29" s="5"/>
      <c r="AD29" s="5"/>
      <c r="AE29" s="5"/>
      <c r="AF29" s="5"/>
      <c r="AG29" s="5"/>
      <c r="AH29" s="5"/>
    </row>
    <row r="30" spans="3:34">
      <c r="C30" s="65" t="s">
        <v>177</v>
      </c>
      <c r="D30" s="71">
        <v>17100</v>
      </c>
      <c r="E30" s="65"/>
      <c r="F30" s="66"/>
      <c r="G30" s="78">
        <v>17100</v>
      </c>
      <c r="K30" s="100" t="s">
        <v>139</v>
      </c>
      <c r="L30" s="102"/>
      <c r="M30" s="20">
        <v>0.21180555555555555</v>
      </c>
      <c r="N30" s="59">
        <v>7.4999999999999997E-2</v>
      </c>
      <c r="O30" s="20">
        <f t="shared" si="8"/>
        <v>0.28680555555555554</v>
      </c>
      <c r="P30" s="20">
        <v>0.16666666666666666</v>
      </c>
      <c r="Q30" s="20">
        <f t="shared" si="9"/>
        <v>0.45347222222222217</v>
      </c>
      <c r="R30" s="21">
        <f t="shared" si="10"/>
        <v>10883.333333333332</v>
      </c>
      <c r="S30" s="21">
        <f t="shared" ref="S30:S46" si="11">R30*1.17</f>
        <v>12733.499999999998</v>
      </c>
      <c r="T30" s="95">
        <f>(Q30*24)*1333</f>
        <v>14507.483333333334</v>
      </c>
      <c r="U30" s="79">
        <f>G41</f>
        <v>3333.3333333333335</v>
      </c>
      <c r="V30" s="21">
        <f t="shared" ref="V30:V32" si="12">ROUNDUP((S30+U30), -2)</f>
        <v>16100</v>
      </c>
      <c r="W30" s="5"/>
      <c r="X30" s="21">
        <f t="shared" ref="X30:X46" si="13">ROUNDUP((T30+U30), -2)</f>
        <v>17900</v>
      </c>
      <c r="Y30" s="5"/>
      <c r="Z30" s="56"/>
      <c r="AA30" s="56"/>
      <c r="AB30" s="56"/>
      <c r="AC30" s="56"/>
      <c r="AD30" s="57"/>
      <c r="AE30" s="57"/>
      <c r="AF30" s="6"/>
      <c r="AG30" s="6"/>
      <c r="AH30" s="6"/>
    </row>
    <row r="31" spans="3:34">
      <c r="C31" s="33" t="s">
        <v>134</v>
      </c>
      <c r="D31" s="50">
        <v>24400</v>
      </c>
      <c r="E31" s="51"/>
      <c r="F31" s="78" t="s">
        <v>254</v>
      </c>
      <c r="G31" s="78">
        <v>21800</v>
      </c>
      <c r="K31" s="100" t="s">
        <v>141</v>
      </c>
      <c r="L31" s="102"/>
      <c r="M31" s="20">
        <v>0.19583333333333333</v>
      </c>
      <c r="N31" s="20">
        <v>8.1944444444444445E-2</v>
      </c>
      <c r="O31" s="20">
        <f t="shared" si="8"/>
        <v>0.27777777777777779</v>
      </c>
      <c r="P31" s="20">
        <v>0.16666666666666666</v>
      </c>
      <c r="Q31" s="20">
        <f t="shared" si="9"/>
        <v>0.44444444444444442</v>
      </c>
      <c r="R31" s="21">
        <f t="shared" si="10"/>
        <v>10666.666666666666</v>
      </c>
      <c r="S31" s="21">
        <f t="shared" si="11"/>
        <v>12479.999999999998</v>
      </c>
      <c r="T31" s="95">
        <f>(Q31*24)*1333</f>
        <v>14218.666666666666</v>
      </c>
      <c r="U31" s="77">
        <f>H41</f>
        <v>3613.3333333333335</v>
      </c>
      <c r="V31" s="21">
        <f t="shared" si="12"/>
        <v>16100</v>
      </c>
      <c r="W31" s="5"/>
      <c r="X31" s="21">
        <f t="shared" si="13"/>
        <v>17900</v>
      </c>
      <c r="Y31" s="5"/>
      <c r="Z31" s="5"/>
      <c r="AA31" s="56"/>
      <c r="AB31" s="56"/>
      <c r="AC31" s="56"/>
      <c r="AD31" s="57"/>
      <c r="AE31" s="57"/>
      <c r="AF31" s="6"/>
      <c r="AG31" s="6"/>
      <c r="AH31" s="5"/>
    </row>
    <row r="32" spans="3:34">
      <c r="C32" s="33" t="s">
        <v>133</v>
      </c>
      <c r="D32" s="50">
        <v>25000</v>
      </c>
      <c r="E32" s="51"/>
      <c r="G32" s="78">
        <v>24600</v>
      </c>
      <c r="K32" s="78" t="s">
        <v>181</v>
      </c>
      <c r="M32" s="20">
        <v>0.19027777777777777</v>
      </c>
      <c r="N32" s="20">
        <v>5.6944444444444443E-2</v>
      </c>
      <c r="O32" s="20">
        <f>M32+N32</f>
        <v>0.2472222222222222</v>
      </c>
      <c r="P32" s="20">
        <v>0.16666666666666666</v>
      </c>
      <c r="Q32" s="20">
        <f>O32+P32</f>
        <v>0.41388888888888886</v>
      </c>
      <c r="R32" s="21">
        <f t="shared" si="10"/>
        <v>9933.3333333333339</v>
      </c>
      <c r="S32" s="21">
        <f t="shared" si="11"/>
        <v>11622</v>
      </c>
      <c r="T32" s="95">
        <f>(Q32*24)*1333</f>
        <v>13241.133333333333</v>
      </c>
      <c r="U32" s="77">
        <f>E42</f>
        <v>2502.439024390244</v>
      </c>
      <c r="V32" s="21">
        <f t="shared" si="12"/>
        <v>14200</v>
      </c>
      <c r="W32" s="101"/>
      <c r="X32" s="21">
        <f t="shared" si="13"/>
        <v>15800</v>
      </c>
      <c r="Y32" s="101"/>
      <c r="Z32" s="101"/>
      <c r="AA32" s="56"/>
      <c r="AB32" s="56"/>
      <c r="AC32" s="56"/>
      <c r="AD32" s="57"/>
      <c r="AE32" s="57"/>
      <c r="AF32" s="6"/>
      <c r="AG32" s="6"/>
      <c r="AH32" s="5"/>
    </row>
    <row r="33" spans="1:34">
      <c r="C33" s="33" t="s">
        <v>132</v>
      </c>
      <c r="D33" s="50">
        <v>27100</v>
      </c>
      <c r="E33" s="51"/>
      <c r="G33" s="78">
        <v>27100</v>
      </c>
      <c r="S33" s="21"/>
      <c r="T33" s="95"/>
      <c r="V33" s="21"/>
      <c r="W33" s="5"/>
      <c r="X33" s="21"/>
      <c r="Y33" s="5"/>
      <c r="Z33" s="56"/>
      <c r="AA33" s="56"/>
      <c r="AB33" s="56"/>
      <c r="AC33" s="56"/>
      <c r="AD33" s="57"/>
      <c r="AE33" s="57"/>
      <c r="AF33" s="6"/>
      <c r="AG33" s="6"/>
      <c r="AH33" s="6"/>
    </row>
    <row r="34" spans="1:34" ht="12.75" thickBot="1">
      <c r="B34" s="27"/>
      <c r="C34" s="34" t="s">
        <v>34</v>
      </c>
      <c r="D34" s="52">
        <v>71700</v>
      </c>
      <c r="E34" s="53">
        <v>62000</v>
      </c>
      <c r="K34" s="78" t="s">
        <v>182</v>
      </c>
      <c r="M34" s="59">
        <v>0.21388888888888891</v>
      </c>
      <c r="N34" s="20">
        <v>6.805555555555555E-2</v>
      </c>
      <c r="O34" s="20">
        <f t="shared" ref="O34:O44" si="14">M34+N34</f>
        <v>0.28194444444444444</v>
      </c>
      <c r="P34" s="20">
        <v>0.16666666666666666</v>
      </c>
      <c r="Q34" s="20">
        <f t="shared" ref="Q34:Q44" si="15">O34+P34</f>
        <v>0.44861111111111107</v>
      </c>
      <c r="R34" s="21">
        <f t="shared" ref="R34:R44" si="16">(Q34*24)*1000</f>
        <v>10766.666666666666</v>
      </c>
      <c r="S34" s="21">
        <f t="shared" si="11"/>
        <v>12596.999999999998</v>
      </c>
      <c r="T34" s="95">
        <f t="shared" ref="T34:T44" si="17">(Q34*24)*1333</f>
        <v>14351.966666666665</v>
      </c>
      <c r="U34" s="79">
        <f>F43</f>
        <v>3660</v>
      </c>
      <c r="V34" s="21">
        <f>ROUNDUP((S34+U34), -2)</f>
        <v>16300</v>
      </c>
      <c r="W34" s="5"/>
      <c r="X34" s="21">
        <f t="shared" si="13"/>
        <v>18100</v>
      </c>
      <c r="Y34" s="5"/>
      <c r="Z34" s="56"/>
      <c r="AA34" s="56"/>
      <c r="AB34" s="56"/>
      <c r="AC34" s="56"/>
      <c r="AD34" s="57"/>
      <c r="AE34" s="57"/>
      <c r="AF34" s="6"/>
      <c r="AG34" s="6"/>
      <c r="AH34" s="6"/>
    </row>
    <row r="35" spans="1:34">
      <c r="C35" s="78" t="s">
        <v>239</v>
      </c>
      <c r="D35" s="79">
        <v>258016</v>
      </c>
      <c r="J35" s="54"/>
      <c r="K35" s="78" t="s">
        <v>142</v>
      </c>
      <c r="M35" s="59">
        <v>0.21458333333333335</v>
      </c>
      <c r="N35" s="59">
        <v>6.805555555555555E-2</v>
      </c>
      <c r="O35" s="20">
        <f t="shared" si="14"/>
        <v>0.28263888888888888</v>
      </c>
      <c r="P35" s="20">
        <v>0.16666666666666666</v>
      </c>
      <c r="Q35" s="20">
        <f t="shared" si="15"/>
        <v>0.44930555555555551</v>
      </c>
      <c r="R35" s="21">
        <f t="shared" si="16"/>
        <v>10783.333333333332</v>
      </c>
      <c r="S35" s="21">
        <f t="shared" si="11"/>
        <v>12616.499999999998</v>
      </c>
      <c r="T35" s="95">
        <f t="shared" si="17"/>
        <v>14374.183333333331</v>
      </c>
      <c r="U35" s="79">
        <f>F44</f>
        <v>3753.8461538461538</v>
      </c>
      <c r="V35" s="61">
        <f>ROUNDUP((S35+U35), -2)</f>
        <v>16400</v>
      </c>
      <c r="W35" s="5"/>
      <c r="X35" s="21">
        <f t="shared" si="13"/>
        <v>18200</v>
      </c>
      <c r="Y35" s="5"/>
      <c r="Z35" s="5"/>
      <c r="AA35" s="56"/>
      <c r="AB35" s="56"/>
      <c r="AC35" s="56"/>
      <c r="AD35" s="57"/>
      <c r="AE35" s="57"/>
      <c r="AF35" s="6"/>
      <c r="AG35" s="6"/>
      <c r="AH35" s="5"/>
    </row>
    <row r="36" spans="1:34">
      <c r="C36" s="78" t="s">
        <v>246</v>
      </c>
      <c r="D36" s="79">
        <v>48000</v>
      </c>
      <c r="J36" s="27"/>
      <c r="K36" s="78" t="s">
        <v>143</v>
      </c>
      <c r="M36" s="20">
        <v>0.19583333333333333</v>
      </c>
      <c r="N36" s="59">
        <v>7.4999999999999997E-2</v>
      </c>
      <c r="O36" s="20">
        <f t="shared" si="14"/>
        <v>0.27083333333333331</v>
      </c>
      <c r="P36" s="20">
        <v>0.16666666666666666</v>
      </c>
      <c r="Q36" s="20">
        <f t="shared" si="15"/>
        <v>0.4375</v>
      </c>
      <c r="R36" s="21">
        <f t="shared" si="16"/>
        <v>10500</v>
      </c>
      <c r="S36" s="21">
        <f t="shared" si="11"/>
        <v>12285</v>
      </c>
      <c r="T36" s="95">
        <f t="shared" si="17"/>
        <v>13996.5</v>
      </c>
      <c r="U36" s="79">
        <f>G44</f>
        <v>3846.1538461538462</v>
      </c>
      <c r="V36" s="21">
        <f>ROUNDUP((S36+U36), -2)</f>
        <v>16200</v>
      </c>
      <c r="W36" s="101"/>
      <c r="X36" s="21">
        <f t="shared" si="13"/>
        <v>17900</v>
      </c>
      <c r="Y36" s="101"/>
      <c r="Z36" s="101"/>
      <c r="AA36" s="56"/>
      <c r="AB36" s="56"/>
      <c r="AC36" s="56"/>
      <c r="AD36" s="57"/>
      <c r="AE36" s="57"/>
      <c r="AF36" s="6"/>
      <c r="AG36" s="6"/>
      <c r="AH36" s="5"/>
    </row>
    <row r="37" spans="1:34">
      <c r="C37" s="78" t="s">
        <v>302</v>
      </c>
      <c r="D37" s="79"/>
      <c r="F37" s="8" t="s">
        <v>186</v>
      </c>
      <c r="G37" s="78" t="s">
        <v>184</v>
      </c>
      <c r="H37" s="78" t="s">
        <v>185</v>
      </c>
      <c r="J37" s="29"/>
      <c r="K37" s="78" t="s">
        <v>144</v>
      </c>
      <c r="M37" s="20">
        <v>0.19583333333333333</v>
      </c>
      <c r="N37" s="20">
        <v>8.1944444444444445E-2</v>
      </c>
      <c r="O37" s="20">
        <f t="shared" si="14"/>
        <v>0.27777777777777779</v>
      </c>
      <c r="P37" s="20">
        <v>0.16666666666666666</v>
      </c>
      <c r="Q37" s="20">
        <f t="shared" si="15"/>
        <v>0.44444444444444442</v>
      </c>
      <c r="R37" s="21">
        <f t="shared" si="16"/>
        <v>10666.666666666666</v>
      </c>
      <c r="S37" s="21">
        <f t="shared" si="11"/>
        <v>12479.999999999998</v>
      </c>
      <c r="T37" s="95">
        <f t="shared" si="17"/>
        <v>14218.666666666666</v>
      </c>
      <c r="U37" s="79">
        <f>H44</f>
        <v>4169.2307692307695</v>
      </c>
      <c r="V37" s="21">
        <f t="shared" ref="V37:V44" si="18">ROUNDUP((S37+U37), -2)</f>
        <v>16700</v>
      </c>
      <c r="W37" s="5"/>
      <c r="X37" s="21">
        <f t="shared" si="13"/>
        <v>18400</v>
      </c>
      <c r="Y37" s="5"/>
      <c r="Z37" s="56"/>
      <c r="AA37" s="56"/>
      <c r="AB37" s="56"/>
      <c r="AC37" s="56"/>
      <c r="AD37" s="57"/>
      <c r="AE37" s="57"/>
      <c r="AF37" s="6"/>
      <c r="AG37" s="6"/>
      <c r="AH37" s="6"/>
    </row>
    <row r="38" spans="1:34" ht="12.75" thickBot="1">
      <c r="C38" s="78" t="s">
        <v>322</v>
      </c>
      <c r="D38" s="79">
        <v>10000</v>
      </c>
      <c r="J38" s="29"/>
      <c r="K38" s="78" t="s">
        <v>183</v>
      </c>
      <c r="M38" s="20">
        <v>0.20416666666666669</v>
      </c>
      <c r="N38" s="20">
        <v>5.6944444444444443E-2</v>
      </c>
      <c r="O38" s="20">
        <f t="shared" si="14"/>
        <v>0.26111111111111113</v>
      </c>
      <c r="P38" s="20">
        <v>0.16666666666666666</v>
      </c>
      <c r="Q38" s="20">
        <f t="shared" si="15"/>
        <v>0.42777777777777781</v>
      </c>
      <c r="R38" s="21">
        <f t="shared" si="16"/>
        <v>10266.666666666668</v>
      </c>
      <c r="S38" s="21">
        <f t="shared" si="11"/>
        <v>12012</v>
      </c>
      <c r="T38" s="95">
        <f t="shared" si="17"/>
        <v>13685.466666666667</v>
      </c>
      <c r="U38" s="79">
        <f>E45</f>
        <v>2850</v>
      </c>
      <c r="V38" s="21">
        <f t="shared" si="18"/>
        <v>14900</v>
      </c>
      <c r="W38" s="5"/>
      <c r="X38" s="21">
        <f t="shared" si="13"/>
        <v>16600</v>
      </c>
      <c r="Y38" s="5"/>
      <c r="Z38" s="5"/>
      <c r="AA38" s="56"/>
      <c r="AB38" s="56"/>
      <c r="AC38" s="56"/>
      <c r="AD38" s="57"/>
      <c r="AE38" s="57"/>
      <c r="AF38" s="6"/>
      <c r="AG38" s="6"/>
      <c r="AH38" s="5"/>
    </row>
    <row r="39" spans="1:34" ht="12.75" customHeight="1" thickBot="1">
      <c r="E39" s="119" t="s">
        <v>129</v>
      </c>
      <c r="F39" s="120"/>
      <c r="G39" s="120"/>
      <c r="H39" s="121"/>
      <c r="I39" s="76"/>
      <c r="J39" s="29"/>
      <c r="K39" s="78" t="s">
        <v>145</v>
      </c>
      <c r="M39" s="20">
        <v>0.19583333333333333</v>
      </c>
      <c r="N39" s="59">
        <v>6.805555555555555E-2</v>
      </c>
      <c r="O39" s="20">
        <f t="shared" si="14"/>
        <v>0.2638888888888889</v>
      </c>
      <c r="P39" s="20">
        <v>0.16666666666666666</v>
      </c>
      <c r="Q39" s="20">
        <f t="shared" si="15"/>
        <v>0.43055555555555558</v>
      </c>
      <c r="R39" s="21">
        <f t="shared" si="16"/>
        <v>10333.333333333334</v>
      </c>
      <c r="S39" s="21">
        <f t="shared" si="11"/>
        <v>12090</v>
      </c>
      <c r="T39" s="95">
        <f t="shared" si="17"/>
        <v>13774.333333333334</v>
      </c>
      <c r="U39" s="79">
        <f>F45</f>
        <v>4066.6666666666665</v>
      </c>
      <c r="V39" s="21">
        <f t="shared" si="18"/>
        <v>16200</v>
      </c>
      <c r="W39" s="101"/>
      <c r="X39" s="21">
        <f t="shared" si="13"/>
        <v>17900</v>
      </c>
      <c r="Y39" s="101"/>
      <c r="Z39" s="101"/>
      <c r="AA39" s="56"/>
      <c r="AB39" s="56"/>
      <c r="AC39" s="56"/>
      <c r="AD39" s="57"/>
      <c r="AE39" s="57"/>
      <c r="AF39" s="6"/>
      <c r="AG39" s="6"/>
      <c r="AH39" s="5"/>
    </row>
    <row r="40" spans="1:34" ht="12.75" thickBot="1">
      <c r="B40" s="122" t="s">
        <v>120</v>
      </c>
      <c r="C40" s="123"/>
      <c r="D40" s="123"/>
      <c r="E40" s="78" t="s">
        <v>178</v>
      </c>
      <c r="F40" s="34" t="s">
        <v>126</v>
      </c>
      <c r="G40" s="34" t="s">
        <v>127</v>
      </c>
      <c r="H40" s="32" t="s">
        <v>128</v>
      </c>
      <c r="I40" s="27"/>
      <c r="J40" s="29"/>
      <c r="K40" s="78" t="s">
        <v>146</v>
      </c>
      <c r="M40" s="59">
        <v>0.23611111111111113</v>
      </c>
      <c r="N40" s="59">
        <v>7.4999999999999997E-2</v>
      </c>
      <c r="O40" s="20">
        <f t="shared" si="14"/>
        <v>0.31111111111111112</v>
      </c>
      <c r="P40" s="20">
        <v>0.16666666666666666</v>
      </c>
      <c r="Q40" s="20">
        <f t="shared" si="15"/>
        <v>0.47777777777777775</v>
      </c>
      <c r="R40" s="21">
        <f t="shared" si="16"/>
        <v>11466.666666666664</v>
      </c>
      <c r="S40" s="21">
        <f t="shared" si="11"/>
        <v>13415.999999999996</v>
      </c>
      <c r="T40" s="95">
        <f t="shared" si="17"/>
        <v>15285.066666666664</v>
      </c>
      <c r="U40" s="79">
        <f>G45</f>
        <v>4166.666666666667</v>
      </c>
      <c r="V40" s="60">
        <f t="shared" si="18"/>
        <v>17600</v>
      </c>
      <c r="W40" s="5"/>
      <c r="X40" s="21">
        <f t="shared" si="13"/>
        <v>19500</v>
      </c>
      <c r="Y40" s="5"/>
      <c r="Z40" s="56"/>
      <c r="AA40" s="56"/>
      <c r="AB40" s="56"/>
      <c r="AC40" s="56"/>
      <c r="AD40" s="57"/>
      <c r="AE40" s="57"/>
      <c r="AF40" s="6"/>
      <c r="AG40" s="6"/>
      <c r="AH40" s="6"/>
    </row>
    <row r="41" spans="1:34">
      <c r="A41" s="27"/>
      <c r="B41" s="41" t="s">
        <v>39</v>
      </c>
      <c r="C41" s="44" t="s">
        <v>117</v>
      </c>
      <c r="D41" s="67">
        <f>ROUNDDOWN(6000/133, 0)</f>
        <v>45</v>
      </c>
      <c r="E41" s="72">
        <f>(D30*6)/D41</f>
        <v>2280</v>
      </c>
      <c r="F41" s="37">
        <f>(D31*6)/D41</f>
        <v>3253.3333333333335</v>
      </c>
      <c r="G41" s="37">
        <f>(D32*6)/D41</f>
        <v>3333.3333333333335</v>
      </c>
      <c r="H41" s="39">
        <f>(D33*6)/D41</f>
        <v>3613.3333333333335</v>
      </c>
      <c r="I41" s="29"/>
      <c r="J41" s="79"/>
      <c r="K41" s="78" t="s">
        <v>147</v>
      </c>
      <c r="M41" s="20">
        <v>0.19583333333333333</v>
      </c>
      <c r="N41" s="20">
        <v>8.1944444444444445E-2</v>
      </c>
      <c r="O41" s="20">
        <f t="shared" si="14"/>
        <v>0.27777777777777779</v>
      </c>
      <c r="P41" s="20">
        <v>0.16666666666666666</v>
      </c>
      <c r="Q41" s="20">
        <f t="shared" si="15"/>
        <v>0.44444444444444442</v>
      </c>
      <c r="R41" s="21">
        <f t="shared" si="16"/>
        <v>10666.666666666666</v>
      </c>
      <c r="S41" s="21">
        <f t="shared" si="11"/>
        <v>12479.999999999998</v>
      </c>
      <c r="T41" s="95">
        <f t="shared" si="17"/>
        <v>14218.666666666666</v>
      </c>
      <c r="U41" s="79">
        <f>H45</f>
        <v>4516.666666666667</v>
      </c>
      <c r="V41" s="21">
        <f t="shared" si="18"/>
        <v>17000</v>
      </c>
      <c r="W41" s="5"/>
      <c r="X41" s="21">
        <f t="shared" si="13"/>
        <v>18800</v>
      </c>
      <c r="Y41" s="5"/>
      <c r="Z41" s="56"/>
      <c r="AA41" s="56"/>
      <c r="AB41" s="56"/>
      <c r="AC41" s="56"/>
      <c r="AD41" s="57"/>
      <c r="AE41" s="57"/>
      <c r="AF41" s="6"/>
      <c r="AG41" s="6"/>
      <c r="AH41" s="6"/>
    </row>
    <row r="42" spans="1:34">
      <c r="B42" s="42"/>
      <c r="C42" s="78" t="s">
        <v>179</v>
      </c>
      <c r="D42" s="68">
        <f>ROUNDDOWN(6000/143, 0)</f>
        <v>41</v>
      </c>
      <c r="E42" s="73">
        <f>(D30*6)/D42</f>
        <v>2502.439024390244</v>
      </c>
      <c r="F42" s="37">
        <f>(D31*6)/D42</f>
        <v>3570.731707317073</v>
      </c>
      <c r="G42" s="37">
        <f>(D32*6)/D42</f>
        <v>3658.5365853658536</v>
      </c>
      <c r="H42" s="39">
        <f>(D33*6)/D42</f>
        <v>3965.8536585365855</v>
      </c>
      <c r="I42" s="29"/>
      <c r="J42" s="79"/>
      <c r="K42" s="78" t="s">
        <v>148</v>
      </c>
      <c r="M42" s="56">
        <v>0.22500000000000001</v>
      </c>
      <c r="N42" s="59">
        <v>6.805555555555555E-2</v>
      </c>
      <c r="O42" s="20">
        <f t="shared" si="14"/>
        <v>0.29305555555555557</v>
      </c>
      <c r="P42" s="20">
        <v>0.16666666666666666</v>
      </c>
      <c r="Q42" s="20">
        <f t="shared" si="15"/>
        <v>0.45972222222222225</v>
      </c>
      <c r="R42" s="21">
        <f t="shared" si="16"/>
        <v>11033.333333333336</v>
      </c>
      <c r="S42" s="21">
        <f t="shared" si="11"/>
        <v>12909.000000000002</v>
      </c>
      <c r="T42" s="95">
        <f t="shared" si="17"/>
        <v>14707.433333333336</v>
      </c>
      <c r="U42" s="79">
        <f>F46</f>
        <v>4305.8823529411766</v>
      </c>
      <c r="V42" s="21">
        <f t="shared" si="18"/>
        <v>17300</v>
      </c>
      <c r="X42" s="21">
        <f t="shared" si="13"/>
        <v>19100</v>
      </c>
      <c r="Y42" s="5"/>
      <c r="Z42" s="56"/>
      <c r="AA42" s="56"/>
      <c r="AB42" s="56"/>
      <c r="AC42" s="56"/>
      <c r="AD42" s="57"/>
      <c r="AE42" s="57"/>
      <c r="AF42" s="6"/>
      <c r="AG42" s="6"/>
      <c r="AH42" s="6"/>
    </row>
    <row r="43" spans="1:34">
      <c r="B43" s="42"/>
      <c r="C43" s="78" t="s">
        <v>180</v>
      </c>
      <c r="D43" s="68">
        <f>ROUNDDOWN(6000/149, 0)</f>
        <v>40</v>
      </c>
      <c r="E43" s="73">
        <f>(D30*6)/D43</f>
        <v>2565</v>
      </c>
      <c r="F43" s="37">
        <f>(D31*6)/D43</f>
        <v>3660</v>
      </c>
      <c r="G43" s="37">
        <f>(D32*6)/D43</f>
        <v>3750</v>
      </c>
      <c r="H43" s="39">
        <f>(D33*6)/D43</f>
        <v>4065</v>
      </c>
      <c r="I43" s="29"/>
      <c r="J43" s="79"/>
      <c r="K43" s="78" t="s">
        <v>149</v>
      </c>
      <c r="M43" s="59">
        <v>0.23819444444444446</v>
      </c>
      <c r="N43" s="59">
        <v>7.4999999999999997E-2</v>
      </c>
      <c r="O43" s="20">
        <f t="shared" si="14"/>
        <v>0.31319444444444444</v>
      </c>
      <c r="P43" s="20">
        <v>0.16666666666666666</v>
      </c>
      <c r="Q43" s="20">
        <f t="shared" si="15"/>
        <v>0.47986111111111107</v>
      </c>
      <c r="R43" s="21">
        <f t="shared" si="16"/>
        <v>11516.666666666666</v>
      </c>
      <c r="S43" s="21">
        <f t="shared" si="11"/>
        <v>13474.499999999998</v>
      </c>
      <c r="T43" s="95">
        <f t="shared" si="17"/>
        <v>15351.716666666665</v>
      </c>
      <c r="U43" s="79">
        <f>G46</f>
        <v>4411.7647058823532</v>
      </c>
      <c r="V43" s="60">
        <f t="shared" si="18"/>
        <v>17900</v>
      </c>
      <c r="W43" s="5"/>
      <c r="X43" s="21">
        <f t="shared" si="13"/>
        <v>19800</v>
      </c>
      <c r="Y43" s="5"/>
      <c r="Z43" s="56"/>
      <c r="AA43" s="56"/>
      <c r="AB43" s="56"/>
      <c r="AC43" s="56"/>
      <c r="AD43" s="57"/>
      <c r="AE43" s="57"/>
      <c r="AF43" s="6"/>
      <c r="AG43" s="6"/>
      <c r="AH43" s="6"/>
    </row>
    <row r="44" spans="1:34" ht="12.75" thickBot="1">
      <c r="B44" s="43"/>
      <c r="C44" s="45" t="s">
        <v>118</v>
      </c>
      <c r="D44" s="68">
        <f>ROUNDDOWN(6000/151, 0)</f>
        <v>39</v>
      </c>
      <c r="E44" s="74">
        <f>(D30*6)/D44</f>
        <v>2630.7692307692309</v>
      </c>
      <c r="F44" s="37">
        <f>(D31*6)/D44</f>
        <v>3753.8461538461538</v>
      </c>
      <c r="G44" s="37">
        <f>(D32*6)/D44</f>
        <v>3846.1538461538462</v>
      </c>
      <c r="H44" s="39">
        <f>(D33*6)/D44</f>
        <v>4169.2307692307695</v>
      </c>
      <c r="I44" s="29"/>
      <c r="J44" s="79"/>
      <c r="K44" s="79" t="s">
        <v>150</v>
      </c>
      <c r="L44" s="79"/>
      <c r="M44" s="20">
        <v>0.19583333333333333</v>
      </c>
      <c r="N44" s="20">
        <v>8.1944444444444445E-2</v>
      </c>
      <c r="O44" s="20">
        <f t="shared" si="14"/>
        <v>0.27777777777777779</v>
      </c>
      <c r="P44" s="20">
        <v>0.16666666666666666</v>
      </c>
      <c r="Q44" s="20">
        <f t="shared" si="15"/>
        <v>0.44444444444444442</v>
      </c>
      <c r="R44" s="21">
        <f t="shared" si="16"/>
        <v>10666.666666666666</v>
      </c>
      <c r="S44" s="21">
        <f t="shared" si="11"/>
        <v>12479.999999999998</v>
      </c>
      <c r="T44" s="95">
        <f t="shared" si="17"/>
        <v>14218.666666666666</v>
      </c>
      <c r="U44" s="79">
        <f>H46</f>
        <v>4782.3529411764703</v>
      </c>
      <c r="V44" s="21">
        <f t="shared" si="18"/>
        <v>17300</v>
      </c>
      <c r="W44" s="5"/>
      <c r="X44" s="21">
        <f t="shared" si="13"/>
        <v>19100</v>
      </c>
      <c r="Y44" s="5"/>
      <c r="Z44" s="56"/>
      <c r="AA44" s="56"/>
      <c r="AB44" s="56"/>
      <c r="AC44" s="56"/>
      <c r="AD44" s="57"/>
      <c r="AE44" s="57"/>
      <c r="AF44" s="6"/>
      <c r="AG44" s="6"/>
      <c r="AH44" s="6"/>
    </row>
    <row r="45" spans="1:34">
      <c r="B45" s="70"/>
      <c r="C45" s="45" t="s">
        <v>116</v>
      </c>
      <c r="D45" s="68">
        <f>ROUNDDOWN(6000/163, 0)</f>
        <v>36</v>
      </c>
      <c r="E45" s="73">
        <f>(D30*6)/D45</f>
        <v>2850</v>
      </c>
      <c r="F45" s="37">
        <f>(D31*6)/D45</f>
        <v>4066.6666666666665</v>
      </c>
      <c r="G45" s="37">
        <f>(D32*6)/D45</f>
        <v>4166.666666666667</v>
      </c>
      <c r="H45" s="39">
        <f>(D33*6)/D45</f>
        <v>4516.666666666667</v>
      </c>
      <c r="I45" s="29"/>
      <c r="J45" s="79"/>
      <c r="S45" s="21"/>
      <c r="T45" s="95"/>
      <c r="X45" s="21"/>
      <c r="Z45" s="56"/>
      <c r="AA45" s="56"/>
      <c r="AB45" s="56"/>
      <c r="AC45" s="56"/>
      <c r="AD45" s="57"/>
      <c r="AE45" s="57"/>
      <c r="AF45" s="6"/>
      <c r="AG45" s="6"/>
      <c r="AH45" s="6"/>
    </row>
    <row r="46" spans="1:34" ht="12.75" thickBot="1">
      <c r="A46" s="27"/>
      <c r="C46" s="46" t="s">
        <v>119</v>
      </c>
      <c r="D46" s="69">
        <f>ROUNDDOWN(6000/173, 0)</f>
        <v>34</v>
      </c>
      <c r="E46" s="75">
        <f>(D30*6)/D46</f>
        <v>3017.6470588235293</v>
      </c>
      <c r="F46" s="38">
        <f>(D31*6)/D46</f>
        <v>4305.8823529411766</v>
      </c>
      <c r="G46" s="38">
        <f>(D32*6)/D46</f>
        <v>4411.7647058823532</v>
      </c>
      <c r="H46" s="31">
        <f>(D33*6)/D46</f>
        <v>4782.3529411764703</v>
      </c>
      <c r="I46" s="29"/>
      <c r="J46" s="79"/>
      <c r="K46" s="78" t="s">
        <v>148</v>
      </c>
      <c r="M46" s="59">
        <v>0.22500000000000001</v>
      </c>
      <c r="N46" s="59">
        <v>6.1111111111111116E-2</v>
      </c>
      <c r="O46" s="20">
        <f>M46+N46</f>
        <v>0.28611111111111109</v>
      </c>
      <c r="P46" s="20">
        <v>0.16666666666666666</v>
      </c>
      <c r="Q46" s="20">
        <f>O46+P46</f>
        <v>0.45277777777777772</v>
      </c>
      <c r="R46" s="21">
        <f>(Q46*24)*1000</f>
        <v>10866.666666666666</v>
      </c>
      <c r="S46" s="21">
        <f t="shared" si="11"/>
        <v>12713.999999999998</v>
      </c>
      <c r="T46" s="95">
        <f>(Q46*24)*1333</f>
        <v>14485.266666666665</v>
      </c>
      <c r="U46" s="79">
        <f>F46</f>
        <v>4305.8823529411766</v>
      </c>
      <c r="V46" s="57">
        <f>ROUNDUP((R46+U46), -2)</f>
        <v>15200</v>
      </c>
      <c r="W46" s="56" t="s">
        <v>163</v>
      </c>
      <c r="X46" s="21">
        <f t="shared" si="13"/>
        <v>18800</v>
      </c>
      <c r="Y46" s="5"/>
      <c r="AA46" s="56"/>
      <c r="AB46" s="56"/>
      <c r="AC46" s="56"/>
      <c r="AD46" s="57"/>
      <c r="AE46" s="57"/>
      <c r="AF46" s="6"/>
      <c r="AG46" s="6"/>
      <c r="AH46" s="6"/>
    </row>
    <row r="47" spans="1:34">
      <c r="A47" s="27"/>
      <c r="C47" s="27"/>
      <c r="D47" s="27"/>
      <c r="E47" s="97"/>
      <c r="F47" s="29"/>
      <c r="G47" s="29"/>
      <c r="H47" s="29"/>
      <c r="I47" s="29"/>
      <c r="J47" s="79"/>
      <c r="M47" s="56"/>
      <c r="N47" s="56"/>
      <c r="O47" s="20"/>
      <c r="P47" s="20"/>
      <c r="Q47" s="20"/>
      <c r="R47" s="21"/>
      <c r="S47" s="21"/>
      <c r="T47" s="21"/>
      <c r="U47" s="79"/>
      <c r="V47" s="57"/>
      <c r="W47" s="56"/>
      <c r="X47" s="95"/>
      <c r="Y47" s="5"/>
      <c r="AA47" s="56"/>
      <c r="AB47" s="56"/>
      <c r="AC47" s="56"/>
      <c r="AD47" s="57"/>
      <c r="AE47" s="57"/>
      <c r="AF47" s="6"/>
      <c r="AG47" s="6"/>
      <c r="AH47" s="6"/>
    </row>
    <row r="48" spans="1:34">
      <c r="A48" s="27"/>
      <c r="C48" s="27" t="s">
        <v>313</v>
      </c>
      <c r="D48" s="27">
        <v>9</v>
      </c>
      <c r="E48" s="97">
        <f>D32/D48</f>
        <v>2777.7777777777778</v>
      </c>
      <c r="F48" s="29"/>
      <c r="G48" s="29"/>
      <c r="H48" s="29"/>
      <c r="I48" s="29"/>
      <c r="J48" s="79"/>
      <c r="M48" s="56"/>
      <c r="N48" s="56"/>
      <c r="O48" s="20"/>
      <c r="P48" s="20"/>
      <c r="Q48" s="20"/>
      <c r="R48" s="21"/>
      <c r="S48" s="21"/>
      <c r="T48" s="21"/>
      <c r="U48" s="79"/>
      <c r="V48" s="57"/>
      <c r="W48" s="56"/>
      <c r="X48" s="95"/>
      <c r="Y48" s="5"/>
      <c r="AA48" s="56"/>
      <c r="AB48" s="56"/>
      <c r="AC48" s="56"/>
      <c r="AD48" s="57"/>
      <c r="AE48" s="57"/>
      <c r="AF48" s="6"/>
      <c r="AG48" s="6"/>
      <c r="AH48" s="6"/>
    </row>
    <row r="49" spans="1:34">
      <c r="A49" s="27"/>
      <c r="B49" s="27"/>
      <c r="C49" s="27" t="s">
        <v>314</v>
      </c>
      <c r="D49" s="27">
        <v>11</v>
      </c>
      <c r="E49" s="97">
        <f>D33/D49</f>
        <v>2463.6363636363635</v>
      </c>
      <c r="F49" s="79"/>
      <c r="G49" s="79"/>
      <c r="H49" s="79"/>
      <c r="I49" s="79"/>
      <c r="J49" s="79"/>
      <c r="W49" s="5"/>
      <c r="X49" s="95"/>
      <c r="Y49" s="5"/>
      <c r="Z49" s="56"/>
      <c r="AA49" s="56"/>
      <c r="AB49" s="56"/>
      <c r="AC49" s="56"/>
      <c r="AD49" s="57"/>
      <c r="AE49" s="57"/>
      <c r="AF49" s="6"/>
      <c r="AG49" s="6"/>
      <c r="AH49" s="6"/>
    </row>
    <row r="50" spans="1:34">
      <c r="B50" s="27"/>
      <c r="C50" s="27"/>
      <c r="D50" s="27"/>
      <c r="E50" s="27"/>
      <c r="H50" s="79"/>
      <c r="I50" s="79"/>
      <c r="J50" s="79"/>
      <c r="K50" s="114" t="s">
        <v>152</v>
      </c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5"/>
      <c r="X50" s="95"/>
      <c r="Y50" s="5"/>
      <c r="Z50" s="56"/>
      <c r="AA50" s="56"/>
      <c r="AB50" s="56"/>
      <c r="AC50" s="56"/>
      <c r="AD50" s="57"/>
      <c r="AE50" s="57"/>
      <c r="AF50" s="6"/>
      <c r="AG50" s="6"/>
      <c r="AH50" s="6"/>
    </row>
    <row r="51" spans="1:34" ht="12.75" thickBot="1">
      <c r="D51" s="12"/>
      <c r="H51" s="79"/>
      <c r="I51" s="79"/>
      <c r="J51" s="79"/>
      <c r="K51" s="55" t="s">
        <v>138</v>
      </c>
      <c r="L51" s="55"/>
      <c r="M51" s="55" t="s">
        <v>136</v>
      </c>
      <c r="N51" s="55" t="s">
        <v>137</v>
      </c>
      <c r="O51" s="22" t="s">
        <v>160</v>
      </c>
      <c r="P51" s="22" t="s">
        <v>81</v>
      </c>
      <c r="Q51" s="22" t="s">
        <v>82</v>
      </c>
      <c r="R51" s="22" t="s">
        <v>135</v>
      </c>
      <c r="S51" s="22"/>
      <c r="T51" s="22"/>
      <c r="U51" s="22" t="s">
        <v>55</v>
      </c>
      <c r="V51" s="22" t="s">
        <v>161</v>
      </c>
      <c r="W51" s="5"/>
      <c r="X51" s="95"/>
      <c r="Y51" s="5"/>
      <c r="Z51" s="56"/>
      <c r="AA51" s="56"/>
      <c r="AB51" s="56"/>
      <c r="AC51" s="56"/>
      <c r="AD51" s="57"/>
      <c r="AE51" s="57"/>
      <c r="AF51" s="6"/>
      <c r="AG51" s="6"/>
      <c r="AH51" s="6"/>
    </row>
    <row r="52" spans="1:34">
      <c r="B52" s="41" t="s">
        <v>131</v>
      </c>
      <c r="C52" s="47" t="s">
        <v>121</v>
      </c>
      <c r="D52" s="28">
        <f>ROUNDDOWN(1060/47, 0)</f>
        <v>22</v>
      </c>
      <c r="E52" s="40">
        <f>(D34*1.1)/D52</f>
        <v>3585</v>
      </c>
      <c r="F52" s="79" t="s">
        <v>153</v>
      </c>
      <c r="G52" s="79">
        <f>E52+E53</f>
        <v>7966.666666666667</v>
      </c>
      <c r="H52" s="79"/>
      <c r="I52" s="79"/>
      <c r="J52" s="79"/>
      <c r="K52" s="100" t="s">
        <v>140</v>
      </c>
      <c r="L52" s="102"/>
      <c r="M52" s="59">
        <v>6.805555555555555E-2</v>
      </c>
      <c r="N52" s="59">
        <v>6.805555555555555E-2</v>
      </c>
      <c r="O52" s="20">
        <f t="shared" ref="O52:O63" si="19">M52+N52</f>
        <v>0.1361111111111111</v>
      </c>
      <c r="P52" s="20">
        <v>0.16666666666666666</v>
      </c>
      <c r="Q52" s="20">
        <f t="shared" ref="Q52:Q63" si="20">O52+P52</f>
        <v>0.30277777777777776</v>
      </c>
      <c r="R52" s="21">
        <f t="shared" ref="R52:R63" si="21">(Q52*24)*1000</f>
        <v>7266.6666666666661</v>
      </c>
      <c r="S52" s="21">
        <f>R52*1.17</f>
        <v>8501.9999999999982</v>
      </c>
      <c r="T52" s="21">
        <f>(Q52*24)*1333</f>
        <v>9686.4666666666653</v>
      </c>
      <c r="U52" s="79">
        <f>F41</f>
        <v>3253.3333333333335</v>
      </c>
      <c r="V52" s="21">
        <f>ROUNDUP((S52+U52), -2)</f>
        <v>11800</v>
      </c>
      <c r="W52" s="57"/>
      <c r="X52" s="95">
        <f>ROUNDUP((T52+U52), -2)</f>
        <v>13000</v>
      </c>
      <c r="Y52" s="5"/>
      <c r="Z52" s="56"/>
      <c r="AA52" s="56"/>
      <c r="AB52" s="56"/>
      <c r="AC52" s="56"/>
      <c r="AD52" s="57"/>
      <c r="AE52" s="57"/>
      <c r="AF52" s="6"/>
      <c r="AG52" s="6"/>
      <c r="AH52" s="6"/>
    </row>
    <row r="53" spans="1:34">
      <c r="B53" s="42" t="s">
        <v>130</v>
      </c>
      <c r="C53" s="62" t="s">
        <v>122</v>
      </c>
      <c r="D53" s="63">
        <f>ROUNDDOWN(1060/57, 0)</f>
        <v>18</v>
      </c>
      <c r="E53" s="64">
        <f>(D34*1.1)/D53</f>
        <v>4381.666666666667</v>
      </c>
      <c r="F53" s="79" t="s">
        <v>176</v>
      </c>
      <c r="G53" s="79">
        <f>E54+E55</f>
        <v>8582.9117647058811</v>
      </c>
      <c r="H53" s="79"/>
      <c r="I53" s="79"/>
      <c r="J53" s="79"/>
      <c r="K53" s="100" t="s">
        <v>139</v>
      </c>
      <c r="L53" s="102"/>
      <c r="M53" s="25">
        <v>7.4999999999999997E-2</v>
      </c>
      <c r="N53" s="25">
        <v>7.4999999999999997E-2</v>
      </c>
      <c r="O53" s="20">
        <f t="shared" si="19"/>
        <v>0.15</v>
      </c>
      <c r="P53" s="20">
        <v>0.16666666666666666</v>
      </c>
      <c r="Q53" s="20">
        <f t="shared" si="20"/>
        <v>0.31666666666666665</v>
      </c>
      <c r="R53" s="21">
        <f t="shared" si="21"/>
        <v>7600</v>
      </c>
      <c r="S53" s="21">
        <f t="shared" ref="S53:S63" si="22">R53*1.17</f>
        <v>8892</v>
      </c>
      <c r="T53" s="21">
        <f t="shared" ref="T53:T63" si="23">(Q53*24)*1333</f>
        <v>10130.799999999999</v>
      </c>
      <c r="U53" s="79">
        <f>G41</f>
        <v>3333.3333333333335</v>
      </c>
      <c r="V53" s="21">
        <f t="shared" ref="V53:V63" si="24">ROUNDUP((S53+U53), -2)</f>
        <v>12300</v>
      </c>
      <c r="W53" s="5"/>
      <c r="X53" s="95">
        <f t="shared" ref="X53:X63" si="25">ROUNDUP((T53+U53), -2)</f>
        <v>13500</v>
      </c>
      <c r="Y53" s="5"/>
      <c r="Z53" s="56"/>
      <c r="AA53" s="56"/>
      <c r="AB53" s="56"/>
      <c r="AC53" s="56"/>
      <c r="AD53" s="57"/>
      <c r="AE53" s="57"/>
      <c r="AF53" s="6"/>
      <c r="AG53" s="6"/>
      <c r="AH53" s="6"/>
    </row>
    <row r="54" spans="1:34">
      <c r="B54" s="42"/>
      <c r="C54" s="48" t="s">
        <v>174</v>
      </c>
      <c r="D54" s="28">
        <f>ROUNDDOWN(1060/52, 0)</f>
        <v>20</v>
      </c>
      <c r="E54" s="37">
        <f>(D34*1.1)/D54</f>
        <v>3943.5</v>
      </c>
      <c r="F54" s="79" t="s">
        <v>154</v>
      </c>
      <c r="G54" s="79">
        <f>E56+E57</f>
        <v>9311.0416666666679</v>
      </c>
      <c r="H54" s="79"/>
      <c r="I54" s="79"/>
      <c r="J54" s="79"/>
      <c r="K54" s="100" t="s">
        <v>141</v>
      </c>
      <c r="L54" s="102"/>
      <c r="M54" s="20">
        <v>0.19583333333333333</v>
      </c>
      <c r="N54" s="20">
        <v>6.3888888888888884E-2</v>
      </c>
      <c r="O54" s="20">
        <f t="shared" si="19"/>
        <v>0.25972222222222219</v>
      </c>
      <c r="P54" s="20">
        <v>0.16666666666666666</v>
      </c>
      <c r="Q54" s="20">
        <f t="shared" si="20"/>
        <v>0.42638888888888882</v>
      </c>
      <c r="R54" s="21">
        <f t="shared" si="21"/>
        <v>10233.33333333333</v>
      </c>
      <c r="S54" s="21">
        <f t="shared" si="22"/>
        <v>11972.999999999996</v>
      </c>
      <c r="T54" s="21">
        <f t="shared" si="23"/>
        <v>13641.033333333329</v>
      </c>
      <c r="U54" s="79">
        <f>H41</f>
        <v>3613.3333333333335</v>
      </c>
      <c r="V54" s="21">
        <f t="shared" si="24"/>
        <v>15600</v>
      </c>
      <c r="W54" s="5"/>
      <c r="X54" s="95">
        <f t="shared" si="25"/>
        <v>17300</v>
      </c>
      <c r="Y54" s="5"/>
      <c r="Z54" s="56"/>
      <c r="AA54" s="56"/>
      <c r="AB54" s="56"/>
      <c r="AC54" s="56"/>
      <c r="AD54" s="57"/>
      <c r="AE54" s="57"/>
      <c r="AF54" s="6"/>
      <c r="AG54" s="6"/>
      <c r="AH54" s="6"/>
    </row>
    <row r="55" spans="1:34">
      <c r="B55" s="42"/>
      <c r="C55" s="62" t="s">
        <v>175</v>
      </c>
      <c r="D55" s="63">
        <f>ROUNDDOWN(1060/62, 0)</f>
        <v>17</v>
      </c>
      <c r="E55" s="64">
        <f>(D34*1.1)/D55</f>
        <v>4639.411764705882</v>
      </c>
      <c r="F55" s="79"/>
      <c r="G55" s="79"/>
      <c r="H55" s="79"/>
      <c r="I55" s="79"/>
      <c r="J55" s="79"/>
      <c r="K55" s="78" t="s">
        <v>142</v>
      </c>
      <c r="M55" s="59">
        <v>6.805555555555555E-2</v>
      </c>
      <c r="N55" s="59">
        <v>6.805555555555555E-2</v>
      </c>
      <c r="O55" s="20">
        <f t="shared" si="19"/>
        <v>0.1361111111111111</v>
      </c>
      <c r="P55" s="20">
        <v>0.16666666666666666</v>
      </c>
      <c r="Q55" s="20">
        <f t="shared" si="20"/>
        <v>0.30277777777777776</v>
      </c>
      <c r="R55" s="21">
        <f t="shared" si="21"/>
        <v>7266.6666666666661</v>
      </c>
      <c r="S55" s="21">
        <f t="shared" si="22"/>
        <v>8501.9999999999982</v>
      </c>
      <c r="T55" s="21">
        <f t="shared" si="23"/>
        <v>9686.4666666666653</v>
      </c>
      <c r="U55" s="79">
        <f>F44</f>
        <v>3753.8461538461538</v>
      </c>
      <c r="V55" s="60">
        <f t="shared" si="24"/>
        <v>12300</v>
      </c>
      <c r="W55" s="5"/>
      <c r="X55" s="95">
        <f t="shared" si="25"/>
        <v>13500</v>
      </c>
      <c r="Y55" s="5"/>
      <c r="Z55" s="56"/>
      <c r="AA55" s="56"/>
      <c r="AB55" s="56"/>
      <c r="AC55" s="56"/>
      <c r="AD55" s="57"/>
      <c r="AE55" s="57"/>
      <c r="AF55" s="6"/>
      <c r="AG55" s="6"/>
      <c r="AH55" s="6"/>
    </row>
    <row r="56" spans="1:34">
      <c r="B56" s="42"/>
      <c r="C56" s="48" t="s">
        <v>123</v>
      </c>
      <c r="D56" s="28">
        <f>ROUNDDOWN(1060/56, 0)</f>
        <v>18</v>
      </c>
      <c r="E56" s="37">
        <f>(D34*1.1)/D56</f>
        <v>4381.666666666667</v>
      </c>
      <c r="F56" s="79"/>
      <c r="G56" s="79"/>
      <c r="H56" s="79"/>
      <c r="I56" s="79"/>
      <c r="J56" s="79"/>
      <c r="K56" s="78" t="s">
        <v>143</v>
      </c>
      <c r="M56" s="25">
        <v>7.4999999999999997E-2</v>
      </c>
      <c r="N56" s="25">
        <v>7.4999999999999997E-2</v>
      </c>
      <c r="O56" s="20">
        <f t="shared" si="19"/>
        <v>0.15</v>
      </c>
      <c r="P56" s="20">
        <v>0.16666666666666666</v>
      </c>
      <c r="Q56" s="20">
        <f t="shared" si="20"/>
        <v>0.31666666666666665</v>
      </c>
      <c r="R56" s="21">
        <f t="shared" si="21"/>
        <v>7600</v>
      </c>
      <c r="S56" s="21">
        <f t="shared" si="22"/>
        <v>8892</v>
      </c>
      <c r="T56" s="21">
        <f t="shared" si="23"/>
        <v>10130.799999999999</v>
      </c>
      <c r="U56" s="79">
        <f>G44</f>
        <v>3846.1538461538462</v>
      </c>
      <c r="V56" s="21">
        <f t="shared" si="24"/>
        <v>12800</v>
      </c>
      <c r="W56" s="5"/>
      <c r="X56" s="95">
        <f t="shared" si="25"/>
        <v>14000</v>
      </c>
      <c r="Y56" s="5"/>
      <c r="Z56" s="56"/>
      <c r="AA56" s="56"/>
      <c r="AB56" s="56"/>
      <c r="AC56" s="56"/>
      <c r="AD56" s="57"/>
      <c r="AE56" s="57"/>
      <c r="AF56" s="6"/>
      <c r="AG56" s="6"/>
      <c r="AH56" s="6"/>
    </row>
    <row r="57" spans="1:34" ht="12.75" thickBot="1">
      <c r="B57" s="43"/>
      <c r="C57" s="49" t="s">
        <v>124</v>
      </c>
      <c r="D57" s="32">
        <f>ROUNDDOWN(1060/66, 0)</f>
        <v>16</v>
      </c>
      <c r="E57" s="38">
        <f>(D34*1.1)/D57</f>
        <v>4929.375</v>
      </c>
      <c r="F57" s="79"/>
      <c r="G57" s="79"/>
      <c r="H57" s="79"/>
      <c r="I57" s="79"/>
      <c r="J57" s="79"/>
      <c r="K57" s="78" t="s">
        <v>144</v>
      </c>
      <c r="M57" s="20">
        <v>0.19583333333333333</v>
      </c>
      <c r="N57" s="20">
        <v>6.3888888888888884E-2</v>
      </c>
      <c r="O57" s="20">
        <f t="shared" si="19"/>
        <v>0.25972222222222219</v>
      </c>
      <c r="P57" s="20">
        <v>0.16666666666666666</v>
      </c>
      <c r="Q57" s="20">
        <f t="shared" si="20"/>
        <v>0.42638888888888882</v>
      </c>
      <c r="R57" s="21">
        <f t="shared" si="21"/>
        <v>10233.33333333333</v>
      </c>
      <c r="S57" s="21">
        <f t="shared" si="22"/>
        <v>11972.999999999996</v>
      </c>
      <c r="T57" s="21">
        <f t="shared" si="23"/>
        <v>13641.033333333329</v>
      </c>
      <c r="U57" s="79">
        <f>H44</f>
        <v>4169.2307692307695</v>
      </c>
      <c r="V57" s="21">
        <f t="shared" si="24"/>
        <v>16200</v>
      </c>
      <c r="W57" s="5"/>
      <c r="X57" s="95">
        <f t="shared" si="25"/>
        <v>17900</v>
      </c>
      <c r="Y57" s="5"/>
      <c r="Z57" s="56"/>
      <c r="AA57" s="56"/>
      <c r="AB57" s="56"/>
      <c r="AC57" s="56"/>
      <c r="AD57" s="57"/>
      <c r="AE57" s="57"/>
      <c r="AF57" s="6"/>
      <c r="AG57" s="6"/>
      <c r="AH57" s="6"/>
    </row>
    <row r="58" spans="1:34">
      <c r="B58" s="78" t="s">
        <v>203</v>
      </c>
      <c r="C58" s="78" t="s">
        <v>201</v>
      </c>
      <c r="D58" s="78">
        <f>ROUNDDOWN(6000/89, 0)</f>
        <v>67</v>
      </c>
      <c r="E58" s="79">
        <f>(D31*6)/D58</f>
        <v>2185.0746268656717</v>
      </c>
      <c r="F58" s="79"/>
      <c r="G58" s="79"/>
      <c r="H58" s="79"/>
      <c r="I58" s="79"/>
      <c r="J58" s="79"/>
      <c r="K58" s="78" t="s">
        <v>145</v>
      </c>
      <c r="M58" s="59">
        <v>6.805555555555555E-2</v>
      </c>
      <c r="N58" s="59">
        <v>6.805555555555555E-2</v>
      </c>
      <c r="O58" s="20">
        <f t="shared" si="19"/>
        <v>0.1361111111111111</v>
      </c>
      <c r="P58" s="20">
        <v>0.16666666666666666</v>
      </c>
      <c r="Q58" s="20">
        <f t="shared" si="20"/>
        <v>0.30277777777777776</v>
      </c>
      <c r="R58" s="21">
        <f t="shared" si="21"/>
        <v>7266.6666666666661</v>
      </c>
      <c r="S58" s="21">
        <f t="shared" si="22"/>
        <v>8501.9999999999982</v>
      </c>
      <c r="T58" s="21">
        <f t="shared" si="23"/>
        <v>9686.4666666666653</v>
      </c>
      <c r="U58" s="79">
        <f>F45</f>
        <v>4066.6666666666665</v>
      </c>
      <c r="V58" s="21">
        <f t="shared" si="24"/>
        <v>12600</v>
      </c>
      <c r="W58" s="5"/>
      <c r="X58" s="95">
        <f t="shared" si="25"/>
        <v>13800</v>
      </c>
      <c r="Y58" s="5"/>
      <c r="Z58" s="56"/>
      <c r="AA58" s="56"/>
      <c r="AB58" s="56"/>
      <c r="AC58" s="56"/>
      <c r="AD58" s="57"/>
      <c r="AE58" s="57"/>
      <c r="AF58" s="6"/>
      <c r="AG58" s="6"/>
      <c r="AH58" s="6"/>
    </row>
    <row r="59" spans="1:34">
      <c r="B59" s="78" t="s">
        <v>240</v>
      </c>
      <c r="C59" s="20" t="s">
        <v>241</v>
      </c>
      <c r="D59" s="78">
        <f>ROUNDDOWN(6000/13, 0)</f>
        <v>461</v>
      </c>
      <c r="E59" s="79">
        <f>(D35*6)/D59</f>
        <v>3358.125813449024</v>
      </c>
      <c r="F59" s="79"/>
      <c r="G59" s="79"/>
      <c r="H59" s="79"/>
      <c r="I59" s="79"/>
      <c r="J59" s="79"/>
      <c r="K59" s="78" t="s">
        <v>146</v>
      </c>
      <c r="M59" s="25">
        <v>7.4999999999999997E-2</v>
      </c>
      <c r="N59" s="25">
        <v>7.4999999999999997E-2</v>
      </c>
      <c r="O59" s="20">
        <f t="shared" si="19"/>
        <v>0.15</v>
      </c>
      <c r="P59" s="20">
        <v>0.16666666666666666</v>
      </c>
      <c r="Q59" s="20">
        <f t="shared" si="20"/>
        <v>0.31666666666666665</v>
      </c>
      <c r="R59" s="21">
        <f t="shared" si="21"/>
        <v>7600</v>
      </c>
      <c r="S59" s="21">
        <f t="shared" si="22"/>
        <v>8892</v>
      </c>
      <c r="T59" s="21">
        <f t="shared" si="23"/>
        <v>10130.799999999999</v>
      </c>
      <c r="U59" s="79">
        <f>G45</f>
        <v>4166.666666666667</v>
      </c>
      <c r="V59" s="21">
        <f t="shared" si="24"/>
        <v>13100</v>
      </c>
      <c r="W59" s="5"/>
      <c r="X59" s="95">
        <f t="shared" si="25"/>
        <v>14300</v>
      </c>
      <c r="Y59" s="5"/>
      <c r="Z59" s="56"/>
      <c r="AA59" s="56"/>
      <c r="AB59" s="56"/>
      <c r="AC59" s="56"/>
      <c r="AD59" s="57"/>
      <c r="AE59" s="57"/>
      <c r="AF59" s="6"/>
      <c r="AG59" s="6"/>
      <c r="AH59" s="6"/>
    </row>
    <row r="60" spans="1:34">
      <c r="F60" s="78" t="s">
        <v>199</v>
      </c>
      <c r="G60" s="79">
        <v>83300</v>
      </c>
      <c r="K60" s="78" t="s">
        <v>147</v>
      </c>
      <c r="M60" s="20">
        <v>0.19583333333333333</v>
      </c>
      <c r="N60" s="20">
        <v>6.3888888888888884E-2</v>
      </c>
      <c r="O60" s="20">
        <f t="shared" si="19"/>
        <v>0.25972222222222219</v>
      </c>
      <c r="P60" s="20">
        <v>0.16666666666666666</v>
      </c>
      <c r="Q60" s="20">
        <f t="shared" si="20"/>
        <v>0.42638888888888882</v>
      </c>
      <c r="R60" s="21">
        <f t="shared" si="21"/>
        <v>10233.33333333333</v>
      </c>
      <c r="S60" s="21">
        <f t="shared" si="22"/>
        <v>11972.999999999996</v>
      </c>
      <c r="T60" s="21">
        <f t="shared" si="23"/>
        <v>13641.033333333329</v>
      </c>
      <c r="U60" s="79">
        <f>H45</f>
        <v>4516.666666666667</v>
      </c>
      <c r="V60" s="21">
        <f t="shared" si="24"/>
        <v>16500</v>
      </c>
      <c r="W60" s="5"/>
      <c r="X60" s="95">
        <f t="shared" si="25"/>
        <v>18200</v>
      </c>
      <c r="Y60" s="5"/>
      <c r="Z60" s="5"/>
      <c r="AA60" s="56"/>
      <c r="AB60" s="56"/>
      <c r="AC60" s="56"/>
      <c r="AD60" s="57"/>
      <c r="AE60" s="57"/>
      <c r="AF60" s="6"/>
      <c r="AG60" s="6"/>
      <c r="AH60" s="5"/>
    </row>
    <row r="61" spans="1:34">
      <c r="F61" s="78" t="s">
        <v>187</v>
      </c>
      <c r="G61" s="79">
        <v>83500</v>
      </c>
      <c r="K61" s="78" t="s">
        <v>148</v>
      </c>
      <c r="M61" s="59">
        <v>6.805555555555555E-2</v>
      </c>
      <c r="N61" s="59">
        <v>6.805555555555555E-2</v>
      </c>
      <c r="O61" s="20">
        <f t="shared" si="19"/>
        <v>0.1361111111111111</v>
      </c>
      <c r="P61" s="20">
        <v>0.16666666666666666</v>
      </c>
      <c r="Q61" s="20">
        <f t="shared" si="20"/>
        <v>0.30277777777777776</v>
      </c>
      <c r="R61" s="21">
        <f t="shared" si="21"/>
        <v>7266.6666666666661</v>
      </c>
      <c r="S61" s="21">
        <f t="shared" si="22"/>
        <v>8501.9999999999982</v>
      </c>
      <c r="T61" s="21">
        <f t="shared" si="23"/>
        <v>9686.4666666666653</v>
      </c>
      <c r="U61" s="79">
        <f>F46</f>
        <v>4305.8823529411766</v>
      </c>
      <c r="V61" s="21">
        <f t="shared" si="24"/>
        <v>12900</v>
      </c>
      <c r="W61" s="101"/>
      <c r="X61" s="95">
        <f t="shared" si="25"/>
        <v>14000</v>
      </c>
      <c r="Y61" s="101"/>
      <c r="Z61" s="101"/>
      <c r="AA61" s="56"/>
      <c r="AB61" s="56"/>
      <c r="AC61" s="56"/>
      <c r="AD61" s="57"/>
      <c r="AE61" s="57"/>
      <c r="AF61" s="6"/>
      <c r="AG61" s="6"/>
      <c r="AH61" s="5"/>
    </row>
    <row r="62" spans="1:34">
      <c r="F62" s="78" t="s">
        <v>188</v>
      </c>
      <c r="G62" s="79">
        <v>93800</v>
      </c>
      <c r="K62" s="78" t="s">
        <v>149</v>
      </c>
      <c r="M62" s="25">
        <v>7.4999999999999997E-2</v>
      </c>
      <c r="N62" s="25">
        <v>7.4999999999999997E-2</v>
      </c>
      <c r="O62" s="20">
        <f t="shared" si="19"/>
        <v>0.15</v>
      </c>
      <c r="P62" s="20">
        <v>0.16666666666666666</v>
      </c>
      <c r="Q62" s="20">
        <f t="shared" si="20"/>
        <v>0.31666666666666665</v>
      </c>
      <c r="R62" s="21">
        <f t="shared" si="21"/>
        <v>7600</v>
      </c>
      <c r="S62" s="21">
        <f t="shared" si="22"/>
        <v>8892</v>
      </c>
      <c r="T62" s="21">
        <f t="shared" si="23"/>
        <v>10130.799999999999</v>
      </c>
      <c r="U62" s="79">
        <f>G46</f>
        <v>4411.7647058823532</v>
      </c>
      <c r="V62" s="21">
        <f t="shared" si="24"/>
        <v>13400</v>
      </c>
      <c r="W62" s="5"/>
      <c r="X62" s="95">
        <f t="shared" si="25"/>
        <v>14600</v>
      </c>
      <c r="Y62" s="5"/>
      <c r="Z62" s="56"/>
      <c r="AA62" s="56"/>
      <c r="AB62" s="56"/>
      <c r="AC62" s="56"/>
      <c r="AD62" s="57"/>
      <c r="AE62" s="57"/>
      <c r="AF62" s="6"/>
      <c r="AG62" s="6"/>
      <c r="AH62" s="6"/>
    </row>
    <row r="63" spans="1:34">
      <c r="K63" s="79" t="s">
        <v>150</v>
      </c>
      <c r="L63" s="79"/>
      <c r="M63" s="20">
        <v>0.19583333333333333</v>
      </c>
      <c r="N63" s="20">
        <v>6.3888888888888884E-2</v>
      </c>
      <c r="O63" s="20">
        <f t="shared" si="19"/>
        <v>0.25972222222222219</v>
      </c>
      <c r="P63" s="20">
        <v>0.16666666666666666</v>
      </c>
      <c r="Q63" s="20">
        <f t="shared" si="20"/>
        <v>0.42638888888888882</v>
      </c>
      <c r="R63" s="21">
        <f t="shared" si="21"/>
        <v>10233.33333333333</v>
      </c>
      <c r="S63" s="21">
        <f t="shared" si="22"/>
        <v>11972.999999999996</v>
      </c>
      <c r="T63" s="21">
        <f t="shared" si="23"/>
        <v>13641.033333333329</v>
      </c>
      <c r="U63" s="79">
        <f>H46</f>
        <v>4782.3529411764703</v>
      </c>
      <c r="V63" s="21">
        <f t="shared" si="24"/>
        <v>16800</v>
      </c>
      <c r="W63" s="5"/>
      <c r="X63" s="95">
        <f t="shared" si="25"/>
        <v>18500</v>
      </c>
      <c r="Y63" s="5"/>
      <c r="Z63" s="5"/>
      <c r="AA63" s="56"/>
      <c r="AB63" s="56"/>
      <c r="AC63" s="56"/>
      <c r="AD63" s="57"/>
      <c r="AE63" s="57"/>
      <c r="AF63" s="6"/>
      <c r="AG63" s="6"/>
      <c r="AH63" s="5"/>
    </row>
    <row r="64" spans="1:34">
      <c r="B64" s="78" t="s">
        <v>246</v>
      </c>
      <c r="C64" s="78" t="s">
        <v>248</v>
      </c>
      <c r="D64" s="78">
        <v>18</v>
      </c>
      <c r="E64" s="79">
        <f>D36/D64</f>
        <v>2666.6666666666665</v>
      </c>
      <c r="F64" s="78" t="s">
        <v>189</v>
      </c>
      <c r="G64" s="79">
        <v>99200</v>
      </c>
      <c r="H64" s="78" t="s">
        <v>328</v>
      </c>
      <c r="W64" s="115"/>
      <c r="X64" s="115"/>
      <c r="Y64" s="115"/>
      <c r="Z64" s="115"/>
      <c r="AA64" s="56"/>
      <c r="AB64" s="56"/>
      <c r="AC64" s="56"/>
      <c r="AD64" s="57"/>
      <c r="AE64" s="57"/>
      <c r="AF64" s="6"/>
      <c r="AG64" s="6"/>
      <c r="AH64" s="5"/>
    </row>
    <row r="65" spans="1:34">
      <c r="C65" s="78" t="s">
        <v>247</v>
      </c>
      <c r="D65" s="78">
        <v>15</v>
      </c>
      <c r="E65" s="79">
        <f>D36/D65</f>
        <v>3200</v>
      </c>
      <c r="H65" s="78" t="s">
        <v>329</v>
      </c>
      <c r="W65" s="5"/>
      <c r="X65" s="56"/>
      <c r="Y65" s="5"/>
      <c r="Z65" s="56"/>
      <c r="AA65" s="56"/>
      <c r="AB65" s="56"/>
      <c r="AC65" s="56"/>
      <c r="AD65" s="57"/>
      <c r="AE65" s="57"/>
      <c r="AF65" s="6"/>
      <c r="AG65" s="6"/>
      <c r="AH65" s="6"/>
    </row>
    <row r="66" spans="1:34">
      <c r="C66" s="78" t="s">
        <v>247</v>
      </c>
      <c r="D66" s="78">
        <v>15</v>
      </c>
      <c r="E66" s="79">
        <f>D31/D66</f>
        <v>1626.6666666666667</v>
      </c>
      <c r="K66" s="114" t="s">
        <v>159</v>
      </c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5"/>
      <c r="X66" s="5"/>
      <c r="Y66" s="5"/>
      <c r="Z66" s="5"/>
      <c r="AA66" s="56"/>
      <c r="AB66" s="56"/>
      <c r="AC66" s="56"/>
      <c r="AD66" s="57"/>
      <c r="AE66" s="57"/>
      <c r="AF66" s="6"/>
      <c r="AG66" s="6"/>
      <c r="AH66" s="5"/>
    </row>
    <row r="67" spans="1:34">
      <c r="M67" s="78" t="s">
        <v>155</v>
      </c>
      <c r="N67" s="78" t="s">
        <v>156</v>
      </c>
      <c r="O67" s="22" t="s">
        <v>160</v>
      </c>
      <c r="P67" s="22" t="s">
        <v>81</v>
      </c>
      <c r="Q67" s="22" t="s">
        <v>82</v>
      </c>
      <c r="R67" s="22" t="s">
        <v>135</v>
      </c>
      <c r="S67" s="22"/>
      <c r="T67" s="22"/>
      <c r="U67" s="22" t="s">
        <v>55</v>
      </c>
      <c r="V67" s="22" t="s">
        <v>161</v>
      </c>
      <c r="W67" s="115"/>
      <c r="X67" s="115"/>
      <c r="Y67" s="115"/>
      <c r="Z67" s="115"/>
      <c r="AA67" s="56"/>
      <c r="AB67" s="56"/>
      <c r="AC67" s="56"/>
      <c r="AD67" s="57"/>
      <c r="AE67" s="57"/>
      <c r="AF67" s="6"/>
      <c r="AG67" s="6"/>
      <c r="AH67" s="5"/>
    </row>
    <row r="68" spans="1:34">
      <c r="B68" s="78" t="s">
        <v>294</v>
      </c>
      <c r="D68" s="78">
        <v>112</v>
      </c>
      <c r="E68" s="79">
        <v>127100</v>
      </c>
      <c r="G68" s="79">
        <f>E68/D68</f>
        <v>1134.8214285714287</v>
      </c>
      <c r="K68" s="78" t="s">
        <v>158</v>
      </c>
      <c r="M68" s="20">
        <v>0.18472222222222223</v>
      </c>
      <c r="N68" s="20">
        <v>0.19236111111111112</v>
      </c>
      <c r="O68" s="20">
        <f>M68+N68</f>
        <v>0.37708333333333333</v>
      </c>
      <c r="P68" s="20">
        <v>0.16666666666666666</v>
      </c>
      <c r="Q68" s="20">
        <f>O68+P68</f>
        <v>0.54374999999999996</v>
      </c>
      <c r="R68" s="21">
        <f>(Q68*24)*1000</f>
        <v>13049.999999999998</v>
      </c>
      <c r="S68" s="21">
        <f>R68*1.17</f>
        <v>15268.499999999996</v>
      </c>
      <c r="T68" s="21">
        <f>(Q68*24)*1333</f>
        <v>17395.649999999998</v>
      </c>
      <c r="U68" s="79">
        <f>G52</f>
        <v>7966.666666666667</v>
      </c>
      <c r="V68" s="21">
        <f>ROUNDUP((S68+U68), -2)</f>
        <v>23300</v>
      </c>
      <c r="W68" s="5"/>
      <c r="X68" s="57">
        <f>ROUNDUP((T68+U68), -2)</f>
        <v>25400</v>
      </c>
      <c r="Y68" s="5"/>
      <c r="Z68" s="56"/>
      <c r="AA68" s="56"/>
      <c r="AB68" s="56"/>
      <c r="AC68" s="56"/>
      <c r="AD68" s="57"/>
      <c r="AE68" s="57"/>
      <c r="AF68" s="6"/>
      <c r="AG68" s="6"/>
      <c r="AH68" s="6"/>
    </row>
    <row r="69" spans="1:34">
      <c r="B69" s="78" t="s">
        <v>295</v>
      </c>
      <c r="K69" s="78" t="s">
        <v>173</v>
      </c>
      <c r="M69" s="20">
        <v>0.23611111111111113</v>
      </c>
      <c r="N69" s="20">
        <v>0.26041666666666669</v>
      </c>
      <c r="O69" s="20">
        <f>M69+N69</f>
        <v>0.49652777777777779</v>
      </c>
      <c r="P69" s="20">
        <v>0.16666666666666666</v>
      </c>
      <c r="Q69" s="20">
        <f>O69+P69</f>
        <v>0.66319444444444442</v>
      </c>
      <c r="R69" s="21">
        <f>(Q69*24)*1000</f>
        <v>15916.666666666666</v>
      </c>
      <c r="S69" s="21">
        <f t="shared" ref="S69:S79" si="26">R69*1.17</f>
        <v>18622.499999999996</v>
      </c>
      <c r="T69" s="21">
        <f t="shared" ref="T69:T79" si="27">(Q69*24)*1333</f>
        <v>21216.916666666664</v>
      </c>
      <c r="U69" s="79">
        <f>G53</f>
        <v>8582.9117647058811</v>
      </c>
      <c r="V69" s="21">
        <f t="shared" ref="V69:V79" si="28">ROUNDUP((S69+U69), -2)</f>
        <v>27300</v>
      </c>
      <c r="W69" s="5"/>
      <c r="X69" s="57">
        <f>ROUNDUP((T69+U69), -2)</f>
        <v>29800</v>
      </c>
      <c r="Y69" s="5"/>
      <c r="Z69" s="5"/>
      <c r="AA69" s="56"/>
      <c r="AB69" s="56"/>
      <c r="AC69" s="56"/>
      <c r="AD69" s="57"/>
      <c r="AE69" s="57"/>
      <c r="AF69" s="6"/>
      <c r="AG69" s="6"/>
      <c r="AH69" s="5"/>
    </row>
    <row r="70" spans="1:34">
      <c r="B70" s="78" t="s">
        <v>302</v>
      </c>
      <c r="D70" s="78">
        <v>30</v>
      </c>
      <c r="E70" s="79">
        <v>52200</v>
      </c>
      <c r="G70" s="79">
        <f>E70/D70</f>
        <v>1740</v>
      </c>
      <c r="K70" s="78" t="s">
        <v>157</v>
      </c>
      <c r="M70" s="20">
        <v>0.23611111111111113</v>
      </c>
      <c r="N70" s="20">
        <v>0.26041666666666669</v>
      </c>
      <c r="O70" s="20">
        <f>M70+N70</f>
        <v>0.49652777777777779</v>
      </c>
      <c r="P70" s="20">
        <v>0.16666666666666666</v>
      </c>
      <c r="Q70" s="20">
        <f>O70+P70</f>
        <v>0.66319444444444442</v>
      </c>
      <c r="R70" s="21">
        <f>(Q70*24)*1000</f>
        <v>15916.666666666666</v>
      </c>
      <c r="S70" s="21">
        <f t="shared" si="26"/>
        <v>18622.499999999996</v>
      </c>
      <c r="T70" s="21">
        <f t="shared" si="27"/>
        <v>21216.916666666664</v>
      </c>
      <c r="U70" s="79">
        <f>G54</f>
        <v>9311.0416666666679</v>
      </c>
      <c r="V70" s="21">
        <f t="shared" si="28"/>
        <v>28000</v>
      </c>
      <c r="W70" s="101"/>
      <c r="X70" s="57">
        <f>ROUNDUP((T70+U70), -2)</f>
        <v>30600</v>
      </c>
      <c r="Y70" s="101"/>
      <c r="Z70" s="101"/>
      <c r="AA70" s="5"/>
      <c r="AB70" s="5"/>
      <c r="AC70" s="5"/>
      <c r="AD70" s="5"/>
      <c r="AE70" s="5"/>
      <c r="AF70" s="5"/>
      <c r="AG70" s="5"/>
      <c r="AH70" s="5"/>
    </row>
    <row r="71" spans="1:34">
      <c r="E71" s="79"/>
      <c r="S71" s="21"/>
      <c r="T71" s="21"/>
      <c r="V71" s="21"/>
      <c r="W71" s="5"/>
      <c r="X71" s="57">
        <f t="shared" ref="X71:X79" si="29">ROUNDUP((T71+U71), -2)</f>
        <v>0</v>
      </c>
      <c r="Y71" s="5"/>
      <c r="Z71" s="56"/>
      <c r="AA71" s="56"/>
      <c r="AB71" s="56"/>
      <c r="AC71" s="56"/>
      <c r="AD71" s="57"/>
      <c r="AE71" s="57"/>
      <c r="AF71" s="6"/>
      <c r="AG71" s="6"/>
      <c r="AH71" s="5"/>
    </row>
    <row r="72" spans="1:34">
      <c r="E72" s="79"/>
      <c r="K72" s="78" t="s">
        <v>200</v>
      </c>
      <c r="M72" s="20">
        <v>0.15277777777777776</v>
      </c>
      <c r="N72" s="20">
        <v>0.15277777777777776</v>
      </c>
      <c r="O72" s="20">
        <f>M72+N72</f>
        <v>0.30555555555555552</v>
      </c>
      <c r="P72" s="20">
        <v>0.16666666666666666</v>
      </c>
      <c r="Q72" s="20">
        <f>O72+P72</f>
        <v>0.47222222222222221</v>
      </c>
      <c r="R72" s="21">
        <f>(Q72*24)*1000</f>
        <v>11333.333333333332</v>
      </c>
      <c r="S72" s="21">
        <f t="shared" si="26"/>
        <v>13259.999999999998</v>
      </c>
      <c r="T72" s="21">
        <f t="shared" si="27"/>
        <v>15107.333333333332</v>
      </c>
      <c r="U72" s="79">
        <f>E58</f>
        <v>2185.0746268656717</v>
      </c>
      <c r="V72" s="21">
        <f t="shared" si="28"/>
        <v>15500</v>
      </c>
      <c r="W72" s="5"/>
      <c r="X72" s="57">
        <f t="shared" si="29"/>
        <v>17300</v>
      </c>
      <c r="Y72" s="5"/>
      <c r="Z72" s="5"/>
      <c r="AA72" s="5"/>
      <c r="AB72" s="5"/>
      <c r="AC72" s="5"/>
      <c r="AD72" s="5"/>
      <c r="AE72" s="5"/>
      <c r="AF72" s="5"/>
      <c r="AG72" s="5"/>
      <c r="AH72" s="5"/>
    </row>
    <row r="73" spans="1:34">
      <c r="A73" s="5"/>
      <c r="B73" s="5"/>
      <c r="C73" s="5"/>
      <c r="D73" s="5"/>
      <c r="E73" s="5"/>
      <c r="R73" s="21"/>
      <c r="S73" s="21"/>
      <c r="T73" s="21"/>
      <c r="V73" s="21"/>
      <c r="W73" s="101"/>
      <c r="X73" s="57">
        <f t="shared" si="29"/>
        <v>0</v>
      </c>
      <c r="Y73" s="101"/>
      <c r="Z73" s="101"/>
      <c r="AA73" s="56"/>
      <c r="AB73" s="56"/>
      <c r="AC73" s="56"/>
      <c r="AD73" s="57"/>
      <c r="AE73" s="57"/>
      <c r="AF73" s="6"/>
      <c r="AG73" s="6"/>
      <c r="AH73" s="5"/>
    </row>
    <row r="74" spans="1:34">
      <c r="A74" s="5"/>
      <c r="B74" s="5"/>
      <c r="C74" s="5"/>
      <c r="D74" s="5"/>
      <c r="E74" s="5"/>
      <c r="K74" s="78" t="s">
        <v>238</v>
      </c>
      <c r="M74" s="20">
        <v>9.7222222222222224E-2</v>
      </c>
      <c r="N74" s="20">
        <v>4.1666666666666664E-2</v>
      </c>
      <c r="O74" s="20">
        <f>M74+N74</f>
        <v>0.1388888888888889</v>
      </c>
      <c r="P74" s="20">
        <v>8.3333333333333329E-2</v>
      </c>
      <c r="Q74" s="20">
        <f>O74+P74</f>
        <v>0.22222222222222221</v>
      </c>
      <c r="R74" s="21">
        <f t="shared" ref="R74:R79" si="30">(Q74*24)*1000</f>
        <v>5333.333333333333</v>
      </c>
      <c r="S74" s="21">
        <f t="shared" si="26"/>
        <v>6239.9999999999991</v>
      </c>
      <c r="T74" s="21">
        <f t="shared" si="27"/>
        <v>7109.333333333333</v>
      </c>
      <c r="U74" s="79">
        <v>3600</v>
      </c>
      <c r="V74" s="21">
        <f t="shared" si="28"/>
        <v>9900</v>
      </c>
      <c r="W74" s="5"/>
      <c r="X74" s="57">
        <f t="shared" si="29"/>
        <v>10800</v>
      </c>
      <c r="Y74" s="5"/>
      <c r="Z74" s="56"/>
      <c r="AA74" s="56"/>
      <c r="AB74" s="56"/>
      <c r="AC74" s="56"/>
      <c r="AD74" s="57"/>
      <c r="AE74" s="57"/>
      <c r="AF74" s="6"/>
      <c r="AG74" s="6"/>
      <c r="AH74" s="5"/>
    </row>
    <row r="75" spans="1:34">
      <c r="A75" s="5"/>
      <c r="B75" s="5"/>
      <c r="C75" s="5"/>
      <c r="D75" s="5"/>
      <c r="E75" s="5"/>
      <c r="M75" s="78" t="s">
        <v>249</v>
      </c>
      <c r="N75" s="78" t="s">
        <v>250</v>
      </c>
      <c r="S75" s="21"/>
      <c r="T75" s="21"/>
      <c r="V75" s="21"/>
      <c r="W75" s="5"/>
      <c r="X75" s="57">
        <f t="shared" si="29"/>
        <v>0</v>
      </c>
      <c r="Y75" s="5"/>
      <c r="Z75" s="5"/>
      <c r="AA75" s="5"/>
      <c r="AB75" s="5"/>
      <c r="AC75" s="5"/>
      <c r="AD75" s="57"/>
      <c r="AE75" s="57"/>
      <c r="AF75" s="6"/>
      <c r="AG75" s="6"/>
      <c r="AH75" s="5"/>
    </row>
    <row r="76" spans="1:34">
      <c r="A76" s="5"/>
      <c r="B76" s="6"/>
      <c r="C76" s="5"/>
      <c r="D76" s="5"/>
      <c r="E76" s="5"/>
      <c r="H76" s="78" t="s">
        <v>335</v>
      </c>
      <c r="J76" s="99" t="s">
        <v>326</v>
      </c>
      <c r="K76" s="78" t="s">
        <v>24</v>
      </c>
      <c r="M76" s="20">
        <v>8.3333333333333329E-2</v>
      </c>
      <c r="N76" s="20">
        <v>0.125</v>
      </c>
      <c r="O76" s="20">
        <f>M76+N76</f>
        <v>0.20833333333333331</v>
      </c>
      <c r="P76" s="20">
        <v>8.3333333333333329E-2</v>
      </c>
      <c r="Q76" s="20">
        <f>O76+P76</f>
        <v>0.29166666666666663</v>
      </c>
      <c r="R76" s="21">
        <f t="shared" si="30"/>
        <v>6999.9999999999991</v>
      </c>
      <c r="S76" s="21">
        <f t="shared" si="26"/>
        <v>8189.9999999999982</v>
      </c>
      <c r="T76" s="21">
        <f t="shared" si="27"/>
        <v>9330.9999999999982</v>
      </c>
      <c r="U76" s="79">
        <f>E64</f>
        <v>2666.6666666666665</v>
      </c>
      <c r="V76" s="21">
        <f t="shared" si="28"/>
        <v>10900</v>
      </c>
      <c r="W76" s="101"/>
      <c r="X76" s="57">
        <f t="shared" si="29"/>
        <v>12000</v>
      </c>
      <c r="Y76" s="101"/>
      <c r="Z76" s="101"/>
      <c r="AA76" s="56"/>
      <c r="AB76" s="56"/>
      <c r="AC76" s="56"/>
      <c r="AD76" s="57"/>
      <c r="AE76" s="57"/>
      <c r="AF76" s="6"/>
      <c r="AG76" s="6"/>
      <c r="AH76" s="5"/>
    </row>
    <row r="77" spans="1:34">
      <c r="A77" s="5"/>
      <c r="B77" s="6"/>
      <c r="C77" s="5"/>
      <c r="D77" s="5"/>
      <c r="E77" s="6"/>
      <c r="H77" s="78" t="s">
        <v>336</v>
      </c>
      <c r="J77" s="99" t="s">
        <v>327</v>
      </c>
      <c r="K77" s="78" t="s">
        <v>26</v>
      </c>
      <c r="M77" s="20">
        <v>8.3333333333333329E-2</v>
      </c>
      <c r="N77" s="20">
        <v>0.16666666666666666</v>
      </c>
      <c r="O77" s="20">
        <f>M77+N77</f>
        <v>0.25</v>
      </c>
      <c r="P77" s="20">
        <v>8.3333333333333329E-2</v>
      </c>
      <c r="Q77" s="20">
        <f>O77+P77</f>
        <v>0.33333333333333331</v>
      </c>
      <c r="R77" s="21">
        <f t="shared" si="30"/>
        <v>8000</v>
      </c>
      <c r="S77" s="21">
        <f t="shared" si="26"/>
        <v>9360</v>
      </c>
      <c r="T77" s="21">
        <f t="shared" si="27"/>
        <v>10664</v>
      </c>
      <c r="U77" s="79">
        <f>E65</f>
        <v>3200</v>
      </c>
      <c r="V77" s="21">
        <f t="shared" si="28"/>
        <v>12600</v>
      </c>
      <c r="W77" s="5"/>
      <c r="X77" s="57">
        <f t="shared" si="29"/>
        <v>13900</v>
      </c>
      <c r="Y77" s="5"/>
      <c r="Z77" s="56"/>
      <c r="AA77" s="56"/>
      <c r="AB77" s="56"/>
      <c r="AC77" s="56"/>
      <c r="AD77" s="57"/>
      <c r="AE77" s="57"/>
      <c r="AF77" s="6"/>
      <c r="AG77" s="6"/>
      <c r="AH77" s="5"/>
    </row>
    <row r="78" spans="1:34">
      <c r="A78" s="5"/>
      <c r="B78" s="6"/>
      <c r="C78" s="5"/>
      <c r="D78" s="5"/>
      <c r="E78" s="6"/>
      <c r="J78" s="99"/>
      <c r="K78" s="78" t="s">
        <v>331</v>
      </c>
      <c r="M78" s="20"/>
      <c r="N78" s="20"/>
      <c r="O78" s="20"/>
      <c r="P78" s="20"/>
      <c r="Q78" s="20">
        <v>0.375</v>
      </c>
      <c r="R78" s="21"/>
      <c r="S78" s="21"/>
      <c r="T78" s="21">
        <f t="shared" si="27"/>
        <v>11997</v>
      </c>
      <c r="U78" s="79">
        <f>E65</f>
        <v>3200</v>
      </c>
      <c r="V78" s="21"/>
      <c r="W78" s="5"/>
      <c r="X78" s="57">
        <f t="shared" si="29"/>
        <v>15200</v>
      </c>
      <c r="Y78" s="5"/>
      <c r="Z78" s="56"/>
      <c r="AA78" s="56"/>
      <c r="AB78" s="56"/>
      <c r="AC78" s="56"/>
      <c r="AD78" s="57"/>
      <c r="AE78" s="57"/>
      <c r="AF78" s="6"/>
      <c r="AG78" s="6"/>
      <c r="AH78" s="5"/>
    </row>
    <row r="79" spans="1:34">
      <c r="A79" s="5"/>
      <c r="B79" s="6"/>
      <c r="C79" s="5"/>
      <c r="D79" s="5"/>
      <c r="E79" s="5"/>
      <c r="K79" s="78" t="s">
        <v>253</v>
      </c>
      <c r="M79" s="20">
        <v>0.16666666666666666</v>
      </c>
      <c r="O79" s="20">
        <f>M79+N79</f>
        <v>0.16666666666666666</v>
      </c>
      <c r="P79" s="20">
        <v>8.3333333333333329E-2</v>
      </c>
      <c r="Q79" s="20">
        <f>O79+P79</f>
        <v>0.25</v>
      </c>
      <c r="R79" s="21">
        <f t="shared" si="30"/>
        <v>6000</v>
      </c>
      <c r="S79" s="21">
        <f t="shared" si="26"/>
        <v>7020</v>
      </c>
      <c r="T79" s="21">
        <f t="shared" si="27"/>
        <v>7998</v>
      </c>
      <c r="U79" s="79">
        <f>E66</f>
        <v>1626.6666666666667</v>
      </c>
      <c r="V79" s="21">
        <f t="shared" si="28"/>
        <v>8700</v>
      </c>
      <c r="W79" s="5"/>
      <c r="X79" s="57">
        <f t="shared" si="29"/>
        <v>9700</v>
      </c>
      <c r="Y79" s="5"/>
      <c r="Z79" s="5"/>
      <c r="AA79" s="56"/>
      <c r="AB79" s="56"/>
      <c r="AC79" s="56"/>
      <c r="AD79" s="57"/>
      <c r="AE79" s="57"/>
      <c r="AF79" s="6"/>
      <c r="AG79" s="6"/>
      <c r="AH79" s="5"/>
    </row>
    <row r="80" spans="1:34">
      <c r="A80" s="5"/>
      <c r="B80" s="6"/>
      <c r="C80" s="5"/>
      <c r="D80" s="5"/>
      <c r="E80" s="5" t="s">
        <v>36</v>
      </c>
      <c r="V80" s="5"/>
      <c r="W80" s="5"/>
      <c r="X80" s="5"/>
      <c r="Y80" s="5"/>
      <c r="Z80" s="5"/>
      <c r="AA80" s="5"/>
      <c r="AB80" s="5"/>
      <c r="AC80" s="5"/>
      <c r="AD80" s="57"/>
      <c r="AE80" s="57"/>
      <c r="AF80" s="6"/>
      <c r="AG80" s="6"/>
      <c r="AH80" s="5"/>
    </row>
    <row r="81" spans="1:34">
      <c r="A81" s="5"/>
      <c r="B81" s="5"/>
      <c r="C81" s="5" t="s">
        <v>210</v>
      </c>
      <c r="D81" s="6">
        <v>75000</v>
      </c>
      <c r="E81" s="6">
        <v>88060</v>
      </c>
      <c r="K81" s="78" t="s">
        <v>275</v>
      </c>
      <c r="U81" s="79">
        <f>X81/Z81</f>
        <v>2340</v>
      </c>
      <c r="V81" s="6">
        <v>10800</v>
      </c>
      <c r="W81" s="5" t="s">
        <v>276</v>
      </c>
      <c r="X81" s="6">
        <v>93600</v>
      </c>
      <c r="Y81" s="56" t="s">
        <v>277</v>
      </c>
      <c r="Z81" s="78">
        <v>40</v>
      </c>
      <c r="AB81" s="56"/>
      <c r="AC81" s="56"/>
      <c r="AD81" s="57"/>
      <c r="AE81" s="57"/>
      <c r="AF81" s="6"/>
      <c r="AG81" s="6"/>
      <c r="AH81" s="5"/>
    </row>
    <row r="82" spans="1:34">
      <c r="A82" s="5"/>
      <c r="B82" s="5"/>
      <c r="C82" s="5" t="s">
        <v>209</v>
      </c>
      <c r="D82" s="6">
        <v>82590</v>
      </c>
      <c r="E82" s="6"/>
      <c r="K82" s="78" t="s">
        <v>278</v>
      </c>
      <c r="U82" s="79">
        <f>X82/Z82</f>
        <v>2000</v>
      </c>
      <c r="V82" s="6">
        <v>9700</v>
      </c>
      <c r="W82" s="5" t="s">
        <v>279</v>
      </c>
      <c r="X82" s="6">
        <v>56000</v>
      </c>
      <c r="Y82" s="5" t="s">
        <v>277</v>
      </c>
      <c r="Z82" s="78">
        <v>28</v>
      </c>
      <c r="AA82" s="5"/>
      <c r="AB82" s="5"/>
      <c r="AC82" s="5"/>
      <c r="AD82" s="57"/>
      <c r="AE82" s="57"/>
      <c r="AF82" s="6"/>
      <c r="AG82" s="6"/>
      <c r="AH82" s="5"/>
    </row>
    <row r="83" spans="1:34">
      <c r="A83" s="5"/>
      <c r="B83" s="5"/>
      <c r="C83" s="5"/>
      <c r="D83" s="5"/>
      <c r="E83" s="5"/>
      <c r="K83" s="78" t="s">
        <v>282</v>
      </c>
      <c r="U83" s="79">
        <f>X83/Z83</f>
        <v>1018.1818181818181</v>
      </c>
      <c r="V83" s="6">
        <v>6800</v>
      </c>
      <c r="W83" s="5"/>
      <c r="X83" s="6">
        <v>56000</v>
      </c>
      <c r="Y83" s="5" t="s">
        <v>277</v>
      </c>
      <c r="Z83" s="5">
        <v>55</v>
      </c>
      <c r="AA83" s="5"/>
      <c r="AB83" s="5"/>
      <c r="AC83" s="5"/>
      <c r="AD83" s="57"/>
      <c r="AE83" s="57"/>
      <c r="AF83" s="6"/>
      <c r="AG83" s="6"/>
      <c r="AH83" s="5"/>
    </row>
    <row r="84" spans="1:34">
      <c r="A84" s="5"/>
      <c r="B84" s="5"/>
      <c r="C84" s="5" t="s">
        <v>211</v>
      </c>
      <c r="D84" s="6">
        <v>83500</v>
      </c>
      <c r="E84" s="5"/>
      <c r="K84" s="78" t="s">
        <v>283</v>
      </c>
      <c r="U84" s="79">
        <f>X84/Z84</f>
        <v>736.84210526315792</v>
      </c>
      <c r="V84" s="6">
        <v>6800</v>
      </c>
      <c r="W84" s="5"/>
      <c r="X84" s="6">
        <v>56000</v>
      </c>
      <c r="Y84" s="5" t="s">
        <v>277</v>
      </c>
      <c r="Z84" s="5">
        <v>76</v>
      </c>
      <c r="AA84" s="56"/>
      <c r="AB84" s="56"/>
      <c r="AC84" s="56"/>
      <c r="AD84" s="57"/>
      <c r="AE84" s="57"/>
      <c r="AF84" s="6"/>
      <c r="AG84" s="6"/>
      <c r="AH84" s="5"/>
    </row>
    <row r="85" spans="1:34">
      <c r="A85" s="5"/>
      <c r="B85" s="6"/>
      <c r="C85" s="5"/>
      <c r="D85" s="5"/>
      <c r="E85" s="5"/>
      <c r="K85" s="78" t="s">
        <v>284</v>
      </c>
      <c r="U85" s="79">
        <f>X85/Z85</f>
        <v>517.14285714285711</v>
      </c>
      <c r="V85" s="79">
        <v>7800</v>
      </c>
      <c r="W85" s="5"/>
      <c r="X85" s="6">
        <v>18100</v>
      </c>
      <c r="Y85" s="5" t="s">
        <v>277</v>
      </c>
      <c r="Z85" s="5">
        <v>35</v>
      </c>
      <c r="AA85" s="5"/>
      <c r="AB85" s="5"/>
      <c r="AC85" s="5"/>
      <c r="AD85" s="5"/>
      <c r="AE85" s="5"/>
      <c r="AF85" s="5"/>
      <c r="AG85" s="5"/>
      <c r="AH85" s="5"/>
    </row>
    <row r="86" spans="1:34">
      <c r="A86" s="5"/>
      <c r="B86" s="5"/>
      <c r="C86" s="5"/>
      <c r="D86" s="5"/>
      <c r="E86" s="5"/>
      <c r="K86" s="78" t="s">
        <v>296</v>
      </c>
      <c r="Q86" s="20">
        <v>0.14583333333333334</v>
      </c>
      <c r="R86" s="21">
        <f>(Q86*24)*1334</f>
        <v>4669</v>
      </c>
      <c r="U86" s="79">
        <f>ROUNDUP(G68,-2)</f>
        <v>1200</v>
      </c>
      <c r="V86" s="21">
        <f>ROUNDUP((U86+R86), -2)</f>
        <v>5900</v>
      </c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</row>
    <row r="87" spans="1:34">
      <c r="A87" s="5"/>
      <c r="B87" s="5"/>
      <c r="C87" s="5"/>
      <c r="D87" s="5"/>
      <c r="E87" s="5"/>
      <c r="K87" s="78" t="s">
        <v>303</v>
      </c>
      <c r="Q87" s="20">
        <v>0.20833333333333334</v>
      </c>
      <c r="R87" s="21">
        <f>(Q87*24)*1334</f>
        <v>6670</v>
      </c>
      <c r="U87" s="79">
        <f>ROUNDUP(G70,-2)</f>
        <v>1800</v>
      </c>
      <c r="V87" s="79">
        <f>ROUNDUP((U87+R87), -2)</f>
        <v>8500</v>
      </c>
      <c r="W87" s="5"/>
      <c r="X87" s="56"/>
      <c r="Y87" s="5"/>
      <c r="Z87" s="5"/>
      <c r="AA87" s="56"/>
      <c r="AB87" s="5"/>
      <c r="AC87" s="5"/>
      <c r="AD87" s="5"/>
      <c r="AE87" s="5"/>
      <c r="AF87" s="5"/>
      <c r="AG87" s="5"/>
      <c r="AH87" s="5"/>
    </row>
    <row r="88" spans="1:34">
      <c r="A88" s="5"/>
      <c r="B88" s="5"/>
      <c r="C88" s="5"/>
      <c r="D88" s="5"/>
      <c r="E88" s="5"/>
      <c r="V88" s="79">
        <f t="shared" ref="V88" si="31">ROUNDUP((U88+R88), -2)</f>
        <v>0</v>
      </c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</row>
    <row r="89" spans="1:34">
      <c r="A89" s="5"/>
      <c r="B89" s="6"/>
      <c r="C89" s="5"/>
      <c r="D89" s="5"/>
      <c r="E89" s="5"/>
      <c r="K89" s="78" t="s">
        <v>311</v>
      </c>
      <c r="O89" s="20">
        <v>0.45833333333333331</v>
      </c>
      <c r="P89" s="20">
        <v>8.3333333333333329E-2</v>
      </c>
      <c r="Q89" s="20">
        <f>O89+P89</f>
        <v>0.54166666666666663</v>
      </c>
      <c r="R89" s="21">
        <f>(Q89*24)*1000</f>
        <v>13000</v>
      </c>
      <c r="S89" s="21">
        <f>R89*1.17</f>
        <v>15209.999999999998</v>
      </c>
      <c r="T89" s="21"/>
      <c r="U89" s="21">
        <f>E49</f>
        <v>2463.6363636363635</v>
      </c>
      <c r="V89" s="79">
        <f>ROUNDUP((S89+U89), -2)</f>
        <v>17700</v>
      </c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</row>
    <row r="90" spans="1:34">
      <c r="A90" s="5"/>
      <c r="B90" s="5"/>
      <c r="C90" s="5"/>
      <c r="D90" s="5"/>
      <c r="E90" s="5"/>
      <c r="K90" s="78" t="s">
        <v>312</v>
      </c>
      <c r="O90" s="20">
        <v>0.45833333333333331</v>
      </c>
      <c r="P90" s="20">
        <v>8.3333333333333329E-2</v>
      </c>
      <c r="Q90" s="20">
        <f>O90+P90</f>
        <v>0.54166666666666663</v>
      </c>
      <c r="R90" s="21">
        <f>(Q90*24)*1000</f>
        <v>13000</v>
      </c>
      <c r="S90" s="21">
        <f>R90*1.17</f>
        <v>15209.999999999998</v>
      </c>
      <c r="T90" s="21"/>
      <c r="U90" s="21">
        <f>E48</f>
        <v>2777.7777777777778</v>
      </c>
      <c r="V90" s="79">
        <f>ROUNDUP((S90+U90), -2)</f>
        <v>18000</v>
      </c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</row>
    <row r="91" spans="1:34">
      <c r="A91" s="5"/>
      <c r="B91" s="5"/>
      <c r="C91" s="5"/>
      <c r="D91" s="5"/>
      <c r="E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</row>
    <row r="92" spans="1:34">
      <c r="A92" s="5"/>
      <c r="B92" s="5"/>
      <c r="C92" s="5"/>
      <c r="D92" s="5"/>
      <c r="E92" s="5"/>
      <c r="K92" s="9" t="s">
        <v>320</v>
      </c>
      <c r="L92" s="9"/>
      <c r="M92" s="25">
        <v>2.4305555555555556E-2</v>
      </c>
      <c r="N92" s="25">
        <v>4.7916666666666663E-2</v>
      </c>
      <c r="O92" s="25">
        <f>M92+N92</f>
        <v>7.2222222222222215E-2</v>
      </c>
      <c r="P92" s="25">
        <v>0.125</v>
      </c>
      <c r="Q92" s="25">
        <f>O92+P92</f>
        <v>0.19722222222222222</v>
      </c>
      <c r="R92" s="9">
        <f>(Q92*24)*1000</f>
        <v>4733.333333333333</v>
      </c>
      <c r="S92" s="9">
        <f>R92*1.17</f>
        <v>5537.9999999999991</v>
      </c>
      <c r="T92" s="9">
        <f>(Q92*24)*1333</f>
        <v>6309.5333333333338</v>
      </c>
      <c r="U92" s="23">
        <v>1200</v>
      </c>
      <c r="V92" s="61">
        <f>ROUNDUP((S92+U92), -2)</f>
        <v>6800</v>
      </c>
      <c r="W92" s="5"/>
      <c r="X92" s="57">
        <f>ROUNDUP((T92+U92), -2)</f>
        <v>7600</v>
      </c>
      <c r="Y92" s="5"/>
      <c r="Z92" s="5"/>
      <c r="AA92" s="5">
        <v>4800</v>
      </c>
      <c r="AB92" s="57">
        <f>X92-AA92</f>
        <v>2800</v>
      </c>
      <c r="AC92" s="5"/>
      <c r="AD92" s="5"/>
      <c r="AE92" s="5"/>
      <c r="AF92" s="5"/>
      <c r="AG92" s="5"/>
      <c r="AH92" s="5"/>
    </row>
    <row r="93" spans="1:34">
      <c r="A93" s="5"/>
      <c r="B93" s="5"/>
      <c r="C93" s="5"/>
      <c r="D93" s="5"/>
      <c r="E93" s="5"/>
      <c r="K93" s="78" t="s">
        <v>321</v>
      </c>
      <c r="M93" s="25">
        <v>2.4305555555555556E-2</v>
      </c>
      <c r="N93" s="25">
        <v>4.7916666666666663E-2</v>
      </c>
      <c r="O93" s="25">
        <f>M93+N93</f>
        <v>7.2222222222222215E-2</v>
      </c>
      <c r="P93" s="25">
        <v>0.125</v>
      </c>
      <c r="Q93" s="25">
        <f>O93+P93</f>
        <v>0.19722222222222222</v>
      </c>
      <c r="R93" s="9">
        <f>(Q93*24)*1000</f>
        <v>4733.333333333333</v>
      </c>
      <c r="S93" s="9">
        <f>R93*1.17</f>
        <v>5537.9999999999991</v>
      </c>
      <c r="T93" s="9">
        <f>(Q93*24)*1333</f>
        <v>6309.5333333333338</v>
      </c>
      <c r="U93" s="23">
        <v>1700</v>
      </c>
      <c r="V93" s="61">
        <f>ROUNDUP((S93+U93), -2)</f>
        <v>7300</v>
      </c>
      <c r="W93" s="5"/>
      <c r="X93" s="57">
        <f>ROUNDUP((T93+U93), -2)</f>
        <v>8100</v>
      </c>
      <c r="Y93" s="5"/>
      <c r="Z93" s="5"/>
      <c r="AA93" s="5">
        <v>5300</v>
      </c>
      <c r="AB93" s="57">
        <f>X93-AA93</f>
        <v>2800</v>
      </c>
      <c r="AC93" s="5"/>
      <c r="AD93" s="5"/>
      <c r="AE93" s="5"/>
      <c r="AF93" s="5"/>
      <c r="AG93" s="5"/>
      <c r="AH93" s="5"/>
    </row>
    <row r="94" spans="1:34">
      <c r="A94" s="5"/>
      <c r="B94" s="5"/>
      <c r="C94" s="5"/>
      <c r="D94" s="5"/>
      <c r="E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</row>
    <row r="95" spans="1:34">
      <c r="A95" s="5"/>
      <c r="B95" s="6"/>
      <c r="C95" s="5"/>
      <c r="D95" s="5" t="s">
        <v>333</v>
      </c>
      <c r="E95" s="5">
        <v>1100</v>
      </c>
      <c r="H95" s="78" t="s">
        <v>214</v>
      </c>
      <c r="I95" s="78" t="s">
        <v>215</v>
      </c>
      <c r="M95" s="78" t="s">
        <v>216</v>
      </c>
      <c r="N95" s="78" t="s">
        <v>217</v>
      </c>
      <c r="O95" s="78" t="s">
        <v>218</v>
      </c>
      <c r="Q95" s="78" t="s">
        <v>317</v>
      </c>
      <c r="R95" s="78" t="s">
        <v>318</v>
      </c>
      <c r="S95" s="78" t="s">
        <v>319</v>
      </c>
      <c r="W95" s="5"/>
      <c r="X95" s="56"/>
      <c r="Y95" s="5"/>
      <c r="Z95" s="56"/>
      <c r="AA95" s="56"/>
      <c r="AB95" s="56"/>
      <c r="AC95" s="56"/>
      <c r="AD95" s="5"/>
      <c r="AE95" s="5"/>
      <c r="AF95" s="5"/>
      <c r="AG95" s="6"/>
      <c r="AH95" s="5"/>
    </row>
    <row r="96" spans="1:34">
      <c r="C96" s="9" t="s">
        <v>339</v>
      </c>
      <c r="D96" s="78">
        <v>40.5</v>
      </c>
      <c r="E96" s="78">
        <f>E95/D96</f>
        <v>27.160493827160494</v>
      </c>
      <c r="G96" s="78" t="s">
        <v>213</v>
      </c>
      <c r="H96" s="78">
        <v>37.5</v>
      </c>
      <c r="I96" s="78">
        <v>24</v>
      </c>
      <c r="J96" s="21">
        <f>90000/24</f>
        <v>3750</v>
      </c>
      <c r="M96" s="91">
        <v>8</v>
      </c>
      <c r="N96" s="91"/>
      <c r="O96" s="91"/>
      <c r="P96" s="91"/>
      <c r="Q96" s="78">
        <v>8</v>
      </c>
      <c r="V96" s="78">
        <f>Q96+R96+S96</f>
        <v>8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</row>
    <row r="97" spans="2:34">
      <c r="C97" s="9" t="s">
        <v>337</v>
      </c>
      <c r="D97" s="78">
        <v>40.4</v>
      </c>
      <c r="E97" s="78">
        <f>E95/D97</f>
        <v>27.227722772277229</v>
      </c>
      <c r="G97" s="78" t="s">
        <v>334</v>
      </c>
      <c r="H97" s="78">
        <v>37.4</v>
      </c>
      <c r="I97" s="78">
        <v>24</v>
      </c>
      <c r="J97" s="21">
        <f>90000/24</f>
        <v>3750</v>
      </c>
      <c r="M97" s="91">
        <v>8</v>
      </c>
      <c r="N97" s="91"/>
      <c r="O97" s="91">
        <v>85</v>
      </c>
      <c r="P97" s="91"/>
      <c r="Q97" s="78">
        <v>8</v>
      </c>
      <c r="S97" s="78">
        <v>7</v>
      </c>
      <c r="V97" s="78">
        <f t="shared" ref="V97:V98" si="32">Q97+R97+S97</f>
        <v>15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</row>
    <row r="98" spans="2:34">
      <c r="C98" s="9" t="s">
        <v>338</v>
      </c>
      <c r="D98" s="78">
        <v>41.7</v>
      </c>
      <c r="E98" s="78">
        <f>E95/D98</f>
        <v>26.378896882494004</v>
      </c>
      <c r="G98" s="78" t="s">
        <v>212</v>
      </c>
      <c r="H98" s="78">
        <v>38.700000000000003</v>
      </c>
      <c r="I98" s="78">
        <v>23</v>
      </c>
      <c r="J98" s="21">
        <f>90000/23</f>
        <v>3913.0434782608695</v>
      </c>
      <c r="M98" s="91">
        <v>6</v>
      </c>
      <c r="N98" s="91">
        <v>35</v>
      </c>
      <c r="O98" s="91">
        <v>75</v>
      </c>
      <c r="P98" s="91"/>
      <c r="Q98" s="78">
        <v>6</v>
      </c>
      <c r="R98" s="78">
        <v>3</v>
      </c>
      <c r="S98" s="78">
        <v>6</v>
      </c>
      <c r="V98" s="78">
        <f t="shared" si="32"/>
        <v>15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</row>
    <row r="99" spans="2:34">
      <c r="B99" s="79"/>
      <c r="J99" s="21">
        <f>SUM(J96:J98)</f>
        <v>11413.04347826087</v>
      </c>
      <c r="N99" s="78" t="s">
        <v>315</v>
      </c>
      <c r="O99" s="78" t="s">
        <v>316</v>
      </c>
      <c r="P99" s="91"/>
      <c r="V99" s="78">
        <f>SUM(V96:V98)</f>
        <v>38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</row>
    <row r="100" spans="2:34"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</row>
    <row r="101" spans="2:34">
      <c r="E101" s="78">
        <v>1.1000000000000001</v>
      </c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</row>
    <row r="102" spans="2:34">
      <c r="E102" s="78">
        <v>1.1000000000000001</v>
      </c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</row>
    <row r="103" spans="2:34"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</row>
    <row r="104" spans="2:34">
      <c r="V104" s="5"/>
      <c r="W104" s="5"/>
      <c r="X104" s="5"/>
      <c r="Y104" s="5"/>
      <c r="Z104" s="5"/>
      <c r="AA104" s="5"/>
      <c r="AB104" s="5"/>
      <c r="AC104" s="5"/>
      <c r="AD104" s="6"/>
      <c r="AE104" s="5"/>
      <c r="AF104" s="5"/>
      <c r="AG104" s="5"/>
      <c r="AH104" s="5"/>
    </row>
    <row r="105" spans="2:34">
      <c r="V105" s="5"/>
      <c r="W105" s="5"/>
      <c r="X105" s="5"/>
      <c r="Y105" s="5"/>
      <c r="Z105" s="5"/>
      <c r="AA105" s="5"/>
      <c r="AB105" s="5"/>
      <c r="AC105" s="5"/>
      <c r="AD105" s="6"/>
      <c r="AE105" s="5"/>
      <c r="AF105" s="5"/>
      <c r="AG105" s="5"/>
      <c r="AH105" s="5"/>
    </row>
    <row r="106" spans="2:34">
      <c r="V106" s="5"/>
      <c r="W106" s="5"/>
      <c r="X106" s="5"/>
      <c r="Y106" s="5"/>
      <c r="Z106" s="5"/>
      <c r="AA106" s="5"/>
      <c r="AB106" s="5"/>
      <c r="AC106" s="5"/>
      <c r="AD106" s="6"/>
      <c r="AE106" s="5"/>
      <c r="AF106" s="5"/>
      <c r="AG106" s="5"/>
      <c r="AH106" s="5"/>
    </row>
    <row r="107" spans="2:34"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</row>
    <row r="108" spans="2:34">
      <c r="V108" s="5"/>
      <c r="W108" s="5"/>
      <c r="X108" s="5"/>
      <c r="Y108" s="5"/>
      <c r="Z108" s="5"/>
      <c r="AA108" s="5"/>
      <c r="AB108" s="5"/>
      <c r="AC108" s="5"/>
      <c r="AD108" s="6"/>
      <c r="AE108" s="5"/>
      <c r="AF108" s="5"/>
      <c r="AG108" s="5"/>
      <c r="AH108" s="5"/>
    </row>
    <row r="109" spans="2:34">
      <c r="V109" s="5"/>
      <c r="W109" s="5"/>
      <c r="X109" s="5"/>
      <c r="Y109" s="5"/>
      <c r="Z109" s="5"/>
      <c r="AA109" s="5"/>
      <c r="AB109" s="5"/>
      <c r="AC109" s="5"/>
      <c r="AD109" s="6"/>
      <c r="AE109" s="5"/>
      <c r="AF109" s="5"/>
      <c r="AG109" s="5"/>
      <c r="AH109" s="5"/>
    </row>
    <row r="110" spans="2:34"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</row>
    <row r="111" spans="2:34"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</row>
    <row r="112" spans="2:34"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</row>
    <row r="113" spans="22:34"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</row>
    <row r="114" spans="22:34"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</row>
  </sheetData>
  <mergeCells count="8">
    <mergeCell ref="K66:V66"/>
    <mergeCell ref="W67:Z67"/>
    <mergeCell ref="K27:V27"/>
    <mergeCell ref="C28:E28"/>
    <mergeCell ref="E39:H39"/>
    <mergeCell ref="B40:D40"/>
    <mergeCell ref="K50:V50"/>
    <mergeCell ref="W64:Z6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4:R62"/>
  <sheetViews>
    <sheetView workbookViewId="0">
      <selection activeCell="E8" sqref="E8"/>
    </sheetView>
  </sheetViews>
  <sheetFormatPr baseColWidth="10" defaultRowHeight="12"/>
  <cols>
    <col min="1" max="1" width="21.28515625" style="2" bestFit="1" customWidth="1"/>
    <col min="2" max="2" width="12.140625" style="2" bestFit="1" customWidth="1"/>
    <col min="3" max="3" width="13" style="2" bestFit="1" customWidth="1"/>
    <col min="4" max="6" width="13" style="2" customWidth="1"/>
    <col min="7" max="7" width="2.7109375" style="2" bestFit="1" customWidth="1"/>
    <col min="8" max="8" width="9.42578125" style="2" customWidth="1"/>
    <col min="9" max="9" width="4.7109375" style="2" customWidth="1"/>
    <col min="10" max="10" width="20.28515625" style="2" customWidth="1"/>
    <col min="11" max="11" width="9" style="2" bestFit="1" customWidth="1"/>
    <col min="12" max="12" width="6.7109375" style="2" bestFit="1" customWidth="1"/>
    <col min="13" max="13" width="6.140625" style="2" bestFit="1" customWidth="1"/>
    <col min="14" max="14" width="7.5703125" style="2" bestFit="1" customWidth="1"/>
    <col min="15" max="15" width="7.7109375" style="2" customWidth="1"/>
    <col min="16" max="16" width="9.140625" style="2" customWidth="1"/>
    <col min="17" max="17" width="9.85546875" style="2" customWidth="1"/>
    <col min="18" max="16384" width="11.42578125" style="2"/>
  </cols>
  <sheetData>
    <row r="4" spans="1:18">
      <c r="K4" s="22" t="s">
        <v>56</v>
      </c>
      <c r="L4" s="22" t="s">
        <v>81</v>
      </c>
      <c r="M4" s="22" t="s">
        <v>82</v>
      </c>
      <c r="N4" s="22" t="s">
        <v>83</v>
      </c>
      <c r="O4" s="22" t="s">
        <v>55</v>
      </c>
      <c r="P4" s="22"/>
      <c r="Q4" s="24" t="s">
        <v>80</v>
      </c>
    </row>
    <row r="5" spans="1:18">
      <c r="G5" s="125" t="s">
        <v>90</v>
      </c>
      <c r="H5" s="125"/>
      <c r="I5" s="125"/>
      <c r="J5" s="125"/>
      <c r="Q5" s="18"/>
    </row>
    <row r="6" spans="1:18">
      <c r="G6" s="2" t="s">
        <v>30</v>
      </c>
      <c r="H6" s="20">
        <v>0.19583333333333333</v>
      </c>
      <c r="I6" s="2" t="s">
        <v>31</v>
      </c>
      <c r="J6" s="20">
        <v>6.3888888888888884E-2</v>
      </c>
      <c r="K6" s="20">
        <f>H6+J6</f>
        <v>0.25972222222222219</v>
      </c>
      <c r="L6" s="20">
        <v>0.20833333333333334</v>
      </c>
      <c r="M6" s="20">
        <f>K6+L6</f>
        <v>0.46805555555555556</v>
      </c>
      <c r="N6" s="21">
        <f>(M6*24)*1000</f>
        <v>11233.333333333334</v>
      </c>
      <c r="O6" s="21">
        <f>C44</f>
        <v>2307.6923076923076</v>
      </c>
      <c r="P6" s="4">
        <f>N6+O6</f>
        <v>13541.025641025641</v>
      </c>
      <c r="Q6" s="19">
        <f>ROUNDUP(P6, -2)</f>
        <v>13600</v>
      </c>
      <c r="R6" s="4"/>
    </row>
    <row r="7" spans="1:18">
      <c r="K7" s="20"/>
      <c r="L7" s="20"/>
      <c r="M7" s="20"/>
      <c r="N7" s="21"/>
      <c r="O7" s="21"/>
      <c r="P7" s="4"/>
      <c r="Q7" s="19"/>
    </row>
    <row r="8" spans="1:18">
      <c r="G8" s="125" t="s">
        <v>91</v>
      </c>
      <c r="H8" s="125"/>
      <c r="I8" s="125"/>
      <c r="J8" s="125"/>
      <c r="K8" s="20"/>
      <c r="L8" s="20"/>
      <c r="M8" s="20"/>
      <c r="N8" s="21"/>
      <c r="O8" s="21"/>
      <c r="P8" s="4"/>
      <c r="Q8" s="19"/>
    </row>
    <row r="9" spans="1:18">
      <c r="G9" s="2" t="s">
        <v>30</v>
      </c>
      <c r="H9" s="20">
        <v>0.23055555555555554</v>
      </c>
      <c r="I9" s="2" t="s">
        <v>31</v>
      </c>
      <c r="J9" s="20">
        <v>7.4305555555555555E-2</v>
      </c>
      <c r="K9" s="20">
        <f t="shared" ref="K9:K12" si="0">H9+J9</f>
        <v>0.30486111111111108</v>
      </c>
      <c r="L9" s="20">
        <v>0.20833333333333334</v>
      </c>
      <c r="M9" s="20">
        <f t="shared" ref="M9:M12" si="1">K9+L9</f>
        <v>0.5131944444444444</v>
      </c>
      <c r="N9" s="21">
        <f t="shared" ref="N9:N12" si="2">(M9*24)*1000</f>
        <v>12316.666666666666</v>
      </c>
      <c r="O9" s="21">
        <f>C45</f>
        <v>3157.8947368421054</v>
      </c>
      <c r="P9" s="4">
        <f t="shared" ref="P9:P12" si="3">N9+O9</f>
        <v>15474.561403508771</v>
      </c>
      <c r="Q9" s="19">
        <f t="shared" ref="Q9:Q12" si="4">ROUNDUP(P9, -2)</f>
        <v>15500</v>
      </c>
      <c r="R9" s="4"/>
    </row>
    <row r="10" spans="1:18">
      <c r="K10" s="20"/>
      <c r="L10" s="20"/>
      <c r="M10" s="20"/>
      <c r="N10" s="21"/>
      <c r="O10" s="21"/>
      <c r="P10" s="4"/>
      <c r="Q10" s="19"/>
    </row>
    <row r="11" spans="1:18">
      <c r="G11" s="125" t="s">
        <v>92</v>
      </c>
      <c r="H11" s="125"/>
      <c r="I11" s="125"/>
      <c r="J11" s="125"/>
      <c r="K11" s="20"/>
      <c r="L11" s="20"/>
      <c r="M11" s="20"/>
      <c r="N11" s="21"/>
      <c r="O11" s="21"/>
      <c r="P11" s="4"/>
      <c r="Q11" s="19"/>
    </row>
    <row r="12" spans="1:18">
      <c r="B12" s="2" t="s">
        <v>35</v>
      </c>
      <c r="C12" s="2" t="s">
        <v>36</v>
      </c>
      <c r="G12" s="2" t="s">
        <v>30</v>
      </c>
      <c r="H12" s="20">
        <v>6.3194444444444442E-2</v>
      </c>
      <c r="I12" s="2" t="s">
        <v>31</v>
      </c>
      <c r="J12" s="20">
        <v>7.4305555555555555E-2</v>
      </c>
      <c r="K12" s="20">
        <f t="shared" si="0"/>
        <v>0.13750000000000001</v>
      </c>
      <c r="L12" s="20">
        <v>0.20833333333333334</v>
      </c>
      <c r="M12" s="20">
        <f t="shared" si="1"/>
        <v>0.34583333333333333</v>
      </c>
      <c r="N12" s="21">
        <f t="shared" si="2"/>
        <v>8300</v>
      </c>
      <c r="O12" s="21">
        <f>C45</f>
        <v>3157.8947368421054</v>
      </c>
      <c r="P12" s="4">
        <f t="shared" si="3"/>
        <v>11457.894736842105</v>
      </c>
      <c r="Q12" s="19">
        <f t="shared" si="4"/>
        <v>11500</v>
      </c>
      <c r="R12" s="4"/>
    </row>
    <row r="13" spans="1:18">
      <c r="A13" s="2" t="s">
        <v>33</v>
      </c>
      <c r="B13" s="4">
        <v>16935</v>
      </c>
      <c r="K13" s="20"/>
      <c r="L13" s="20"/>
      <c r="M13" s="20"/>
      <c r="N13" s="21"/>
      <c r="O13" s="21"/>
      <c r="P13" s="4"/>
      <c r="Q13" s="19"/>
    </row>
    <row r="14" spans="1:18">
      <c r="A14" s="2" t="s">
        <v>32</v>
      </c>
      <c r="B14" s="4">
        <v>19645</v>
      </c>
      <c r="G14" s="124" t="s">
        <v>98</v>
      </c>
      <c r="H14" s="124"/>
      <c r="I14" s="124"/>
      <c r="J14" s="124"/>
      <c r="K14" s="20"/>
      <c r="L14" s="20"/>
      <c r="M14" s="20"/>
      <c r="N14" s="21"/>
      <c r="O14" s="21"/>
      <c r="P14" s="4"/>
      <c r="Q14" s="19"/>
    </row>
    <row r="15" spans="1:18">
      <c r="A15" s="2" t="s">
        <v>34</v>
      </c>
      <c r="B15" s="4">
        <v>46760</v>
      </c>
      <c r="C15" s="4">
        <v>52050</v>
      </c>
      <c r="D15" s="4"/>
      <c r="E15" s="4"/>
      <c r="F15" s="4"/>
      <c r="G15" s="2" t="s">
        <v>30</v>
      </c>
      <c r="H15" s="20">
        <v>0.23750000000000002</v>
      </c>
      <c r="I15" s="2" t="s">
        <v>31</v>
      </c>
      <c r="J15" s="20">
        <v>7.4305555555555555E-2</v>
      </c>
      <c r="K15" s="20">
        <f t="shared" ref="K15" si="5">H15+J15</f>
        <v>0.31180555555555556</v>
      </c>
      <c r="L15" s="20">
        <v>0.20833333333333334</v>
      </c>
      <c r="M15" s="20">
        <f t="shared" ref="M15" si="6">K15+L15</f>
        <v>0.52013888888888893</v>
      </c>
      <c r="N15" s="21">
        <f t="shared" ref="N15" si="7">(M15*24)*1000</f>
        <v>12483.333333333334</v>
      </c>
      <c r="O15" s="21">
        <f>C46</f>
        <v>3333.3333333333335</v>
      </c>
      <c r="P15" s="4">
        <f t="shared" ref="P15" si="8">N15+O15</f>
        <v>15816.666666666668</v>
      </c>
      <c r="Q15" s="19">
        <f t="shared" ref="Q15" si="9">ROUNDUP(P15, -2)</f>
        <v>15900</v>
      </c>
      <c r="R15" s="4"/>
    </row>
    <row r="16" spans="1:18">
      <c r="K16" s="20"/>
      <c r="L16" s="20"/>
      <c r="M16" s="20"/>
      <c r="N16" s="21"/>
      <c r="O16" s="21"/>
      <c r="P16" s="4"/>
      <c r="Q16" s="19"/>
    </row>
    <row r="17" spans="1:18">
      <c r="B17" s="2" t="s">
        <v>37</v>
      </c>
      <c r="C17" s="2" t="s">
        <v>38</v>
      </c>
      <c r="D17" s="2" t="s">
        <v>40</v>
      </c>
      <c r="E17" s="2" t="s">
        <v>41</v>
      </c>
      <c r="G17" s="125" t="s">
        <v>93</v>
      </c>
      <c r="H17" s="125"/>
      <c r="I17" s="125"/>
      <c r="J17" s="125"/>
      <c r="K17" s="20"/>
      <c r="L17" s="20"/>
      <c r="M17" s="20"/>
      <c r="N17" s="21"/>
      <c r="O17" s="21"/>
      <c r="P17" s="4"/>
      <c r="Q17" s="19"/>
    </row>
    <row r="18" spans="1:18">
      <c r="A18" s="2" t="s">
        <v>39</v>
      </c>
      <c r="B18" s="2" t="s">
        <v>42</v>
      </c>
      <c r="C18" s="2" t="s">
        <v>43</v>
      </c>
      <c r="D18" s="2" t="s">
        <v>44</v>
      </c>
      <c r="E18" s="2" t="s">
        <v>45</v>
      </c>
      <c r="G18" s="2" t="s">
        <v>30</v>
      </c>
      <c r="H18" s="20">
        <v>0.19583333333333333</v>
      </c>
      <c r="I18" s="2" t="s">
        <v>31</v>
      </c>
      <c r="J18" s="20">
        <v>6.3888888888888884E-2</v>
      </c>
      <c r="K18" s="20">
        <f>H18+J18</f>
        <v>0.25972222222222219</v>
      </c>
      <c r="L18" s="20">
        <v>0.20833333333333334</v>
      </c>
      <c r="M18" s="20">
        <f>K18+L18</f>
        <v>0.46805555555555556</v>
      </c>
      <c r="N18" s="21">
        <f>(M18*24)*1000</f>
        <v>11233.333333333334</v>
      </c>
      <c r="O18" s="21">
        <f>C48</f>
        <v>2526.9230769230771</v>
      </c>
      <c r="P18" s="4">
        <f>N18+O18</f>
        <v>13760.25641025641</v>
      </c>
      <c r="Q18" s="19">
        <f>ROUNDUP(P18, -2)</f>
        <v>13800</v>
      </c>
      <c r="R18" s="4"/>
    </row>
    <row r="19" spans="1:18">
      <c r="K19" s="20"/>
      <c r="L19" s="20"/>
      <c r="M19" s="20"/>
      <c r="N19" s="21"/>
      <c r="O19" s="21"/>
      <c r="P19" s="4"/>
      <c r="Q19" s="19"/>
    </row>
    <row r="20" spans="1:18">
      <c r="D20" s="2" t="s">
        <v>85</v>
      </c>
      <c r="E20" s="2" t="s">
        <v>84</v>
      </c>
      <c r="G20" s="125" t="s">
        <v>94</v>
      </c>
      <c r="H20" s="125"/>
      <c r="I20" s="125"/>
      <c r="J20" s="125"/>
      <c r="K20" s="20"/>
      <c r="L20" s="20"/>
      <c r="M20" s="20"/>
      <c r="N20" s="21"/>
      <c r="O20" s="21"/>
      <c r="P20" s="4"/>
      <c r="Q20" s="19"/>
    </row>
    <row r="21" spans="1:18">
      <c r="D21" s="2" t="s">
        <v>89</v>
      </c>
      <c r="E21" s="2" t="s">
        <v>45</v>
      </c>
      <c r="G21" s="2" t="s">
        <v>30</v>
      </c>
      <c r="H21" s="20">
        <v>0.22083333333333333</v>
      </c>
      <c r="I21" s="2" t="s">
        <v>31</v>
      </c>
      <c r="J21" s="20">
        <v>7.2222222222222229E-2</v>
      </c>
      <c r="K21" s="20">
        <f>H21+J21</f>
        <v>0.29305555555555557</v>
      </c>
      <c r="L21" s="20">
        <v>0.20833333333333334</v>
      </c>
      <c r="M21" s="20">
        <f>K21+L21</f>
        <v>0.50138888888888888</v>
      </c>
      <c r="N21" s="21">
        <f>(M21*24)*1000</f>
        <v>12033.333333333334</v>
      </c>
      <c r="O21" s="21">
        <f>C49</f>
        <v>3457.8947368421054</v>
      </c>
      <c r="P21" s="4">
        <f>N21+O21</f>
        <v>15491.228070175439</v>
      </c>
      <c r="Q21" s="19">
        <f>ROUNDUP(P21, -2)</f>
        <v>15500</v>
      </c>
      <c r="R21" s="4"/>
    </row>
    <row r="22" spans="1:18">
      <c r="K22" s="20"/>
      <c r="L22" s="20"/>
      <c r="M22" s="20"/>
      <c r="N22" s="21"/>
      <c r="O22" s="21"/>
      <c r="P22" s="4"/>
      <c r="Q22" s="19"/>
    </row>
    <row r="23" spans="1:18">
      <c r="A23" s="2" t="s">
        <v>63</v>
      </c>
      <c r="B23" s="2" t="s">
        <v>66</v>
      </c>
      <c r="C23" s="2" t="s">
        <v>67</v>
      </c>
      <c r="D23" s="2" t="s">
        <v>64</v>
      </c>
      <c r="E23" s="2" t="s">
        <v>65</v>
      </c>
      <c r="G23" s="125" t="s">
        <v>95</v>
      </c>
      <c r="H23" s="125"/>
      <c r="I23" s="125"/>
      <c r="J23" s="125"/>
      <c r="K23" s="20"/>
      <c r="L23" s="20"/>
      <c r="M23" s="20"/>
      <c r="N23" s="21"/>
      <c r="O23" s="21"/>
      <c r="P23" s="4"/>
      <c r="Q23" s="19"/>
    </row>
    <row r="24" spans="1:18">
      <c r="A24" s="2" t="s">
        <v>68</v>
      </c>
      <c r="B24" s="2" t="s">
        <v>71</v>
      </c>
      <c r="C24" s="2" t="s">
        <v>72</v>
      </c>
      <c r="D24" s="2" t="s">
        <v>69</v>
      </c>
      <c r="E24" s="2" t="s">
        <v>70</v>
      </c>
      <c r="G24" s="2" t="s">
        <v>30</v>
      </c>
      <c r="H24" s="20">
        <v>0.20833333333333334</v>
      </c>
      <c r="I24" s="2" t="s">
        <v>31</v>
      </c>
      <c r="J24" s="20">
        <v>6.25E-2</v>
      </c>
      <c r="K24" s="20">
        <f>H24+J24</f>
        <v>0.27083333333333337</v>
      </c>
      <c r="L24" s="20">
        <v>0.20833333333333334</v>
      </c>
      <c r="M24" s="20">
        <f>K24+L24</f>
        <v>0.47916666666666674</v>
      </c>
      <c r="N24" s="21">
        <f>(M24*24)*1000</f>
        <v>11500.000000000002</v>
      </c>
      <c r="O24" s="21">
        <f>C40</f>
        <v>2454.5454545454545</v>
      </c>
      <c r="P24" s="4">
        <f>N24+O24</f>
        <v>13954.545454545456</v>
      </c>
      <c r="Q24" s="19">
        <f>ROUNDUP(P24, -2)</f>
        <v>14000</v>
      </c>
      <c r="R24" s="4"/>
    </row>
    <row r="25" spans="1:18">
      <c r="K25" s="20"/>
      <c r="L25" s="20"/>
      <c r="M25" s="20"/>
      <c r="N25" s="21"/>
      <c r="O25" s="21"/>
      <c r="P25" s="4"/>
      <c r="Q25" s="19"/>
    </row>
    <row r="26" spans="1:18">
      <c r="G26" s="124" t="s">
        <v>96</v>
      </c>
      <c r="H26" s="124"/>
      <c r="I26" s="124"/>
      <c r="J26" s="124"/>
    </row>
    <row r="27" spans="1:18">
      <c r="B27" s="2">
        <f>94/22</f>
        <v>4.2727272727272725</v>
      </c>
      <c r="C27" s="2">
        <f>94/18</f>
        <v>5.2222222222222223</v>
      </c>
      <c r="G27" s="2" t="s">
        <v>30</v>
      </c>
      <c r="H27" s="20">
        <v>0.22500000000000001</v>
      </c>
      <c r="I27" s="2" t="s">
        <v>31</v>
      </c>
      <c r="J27" s="20">
        <v>6.25E-2</v>
      </c>
      <c r="K27" s="20">
        <f t="shared" ref="K27" si="10">H27+J27</f>
        <v>0.28749999999999998</v>
      </c>
      <c r="L27" s="20">
        <v>0.20833333333333334</v>
      </c>
      <c r="M27" s="20">
        <f t="shared" ref="M27" si="11">K27+L27</f>
        <v>0.49583333333333335</v>
      </c>
      <c r="N27" s="21">
        <f t="shared" ref="N27" si="12">(M27*24)*1000</f>
        <v>11900</v>
      </c>
      <c r="O27" s="21">
        <f>C41</f>
        <v>2571.4285714285716</v>
      </c>
      <c r="P27" s="4">
        <f t="shared" ref="P27" si="13">N27+O27</f>
        <v>14471.428571428572</v>
      </c>
      <c r="Q27" s="19">
        <f t="shared" ref="Q27" si="14">ROUNDUP(P27, -2)</f>
        <v>14500</v>
      </c>
    </row>
    <row r="28" spans="1:18">
      <c r="C28" s="2">
        <f>B27+C27</f>
        <v>9.4949494949494948</v>
      </c>
    </row>
    <row r="29" spans="1:18">
      <c r="G29" s="124" t="s">
        <v>97</v>
      </c>
      <c r="H29" s="124"/>
      <c r="I29" s="124"/>
      <c r="J29" s="124"/>
      <c r="K29" s="20"/>
      <c r="L29" s="20"/>
      <c r="M29" s="20"/>
      <c r="N29" s="21"/>
      <c r="O29" s="21"/>
      <c r="P29" s="4"/>
      <c r="Q29" s="19"/>
    </row>
    <row r="30" spans="1:18">
      <c r="G30" s="2" t="s">
        <v>30</v>
      </c>
      <c r="H30" s="20">
        <v>0.23750000000000002</v>
      </c>
      <c r="I30" s="2" t="s">
        <v>31</v>
      </c>
      <c r="J30" s="20">
        <v>7.4305555555555555E-2</v>
      </c>
      <c r="K30" s="20">
        <f>H30+J30</f>
        <v>0.31180555555555556</v>
      </c>
      <c r="L30" s="20">
        <v>0.20833333333333334</v>
      </c>
      <c r="M30" s="20">
        <f>K30+L30</f>
        <v>0.52013888888888893</v>
      </c>
      <c r="N30" s="21">
        <f>(M30*24)*1000</f>
        <v>12483.333333333334</v>
      </c>
      <c r="O30" s="21">
        <f>C42</f>
        <v>3000</v>
      </c>
      <c r="P30" s="4">
        <f>N30+O30</f>
        <v>15483.333333333334</v>
      </c>
      <c r="Q30" s="19">
        <f>ROUNDUP(P30, -2)</f>
        <v>15500</v>
      </c>
    </row>
    <row r="31" spans="1:18">
      <c r="N31" s="21"/>
      <c r="O31" s="21"/>
      <c r="P31" s="4"/>
      <c r="Q31" s="19"/>
    </row>
    <row r="32" spans="1:18">
      <c r="A32" s="2" t="s">
        <v>47</v>
      </c>
      <c r="B32" s="23">
        <v>18000</v>
      </c>
      <c r="C32" s="2">
        <v>18000</v>
      </c>
      <c r="G32" s="124" t="s">
        <v>99</v>
      </c>
      <c r="H32" s="124"/>
      <c r="I32" s="124"/>
      <c r="J32" s="124"/>
      <c r="K32" s="20"/>
      <c r="L32" s="20"/>
      <c r="M32" s="20"/>
      <c r="N32" s="21"/>
      <c r="O32" s="21"/>
      <c r="P32" s="4"/>
      <c r="Q32" s="19"/>
    </row>
    <row r="33" spans="1:17">
      <c r="A33" s="2" t="s">
        <v>48</v>
      </c>
      <c r="B33" s="23">
        <v>20000</v>
      </c>
      <c r="C33" s="2">
        <v>20000</v>
      </c>
      <c r="E33" s="4"/>
      <c r="G33" s="2" t="s">
        <v>30</v>
      </c>
      <c r="H33" s="20">
        <v>7.4305555555555555E-2</v>
      </c>
      <c r="I33" s="2" t="s">
        <v>31</v>
      </c>
      <c r="J33" s="20">
        <v>7.4305555555555555E-2</v>
      </c>
      <c r="K33" s="20">
        <f t="shared" ref="K33" si="15">H33+J33</f>
        <v>0.14861111111111111</v>
      </c>
      <c r="L33" s="20">
        <v>0.20833333333333334</v>
      </c>
      <c r="M33" s="20">
        <f t="shared" ref="M33" si="16">K33+L33</f>
        <v>0.35694444444444445</v>
      </c>
      <c r="N33" s="21">
        <f t="shared" ref="N33" si="17">(M33*24)*1000</f>
        <v>8566.6666666666661</v>
      </c>
      <c r="O33" s="21">
        <f>C46</f>
        <v>3333.3333333333335</v>
      </c>
      <c r="P33" s="4">
        <f t="shared" ref="P33" si="18">N33+O33</f>
        <v>11900</v>
      </c>
      <c r="Q33" s="19">
        <f t="shared" ref="Q33" si="19">ROUNDUP(P33, -2)</f>
        <v>11900</v>
      </c>
    </row>
    <row r="34" spans="1:17">
      <c r="A34" s="2" t="s">
        <v>46</v>
      </c>
      <c r="B34" s="23">
        <v>21900</v>
      </c>
      <c r="K34" s="20"/>
      <c r="L34" s="20"/>
      <c r="M34" s="20"/>
      <c r="N34" s="21"/>
      <c r="O34" s="21"/>
      <c r="P34" s="4"/>
      <c r="Q34" s="19"/>
    </row>
    <row r="35" spans="1:17">
      <c r="A35" s="2" t="s">
        <v>34</v>
      </c>
      <c r="B35" s="23">
        <v>54400</v>
      </c>
      <c r="G35" s="2" t="s">
        <v>60</v>
      </c>
      <c r="N35" s="21"/>
      <c r="O35" s="21"/>
      <c r="P35" s="4"/>
      <c r="Q35" s="19"/>
    </row>
    <row r="36" spans="1:17">
      <c r="G36" s="2" t="s">
        <v>58</v>
      </c>
      <c r="H36" s="20">
        <v>0.17916666666666667</v>
      </c>
      <c r="I36" s="2" t="s">
        <v>59</v>
      </c>
      <c r="J36" s="20">
        <v>0.1875</v>
      </c>
      <c r="K36" s="20">
        <f>H36+J36</f>
        <v>0.3666666666666667</v>
      </c>
      <c r="L36" s="20">
        <v>0.16666666666666666</v>
      </c>
      <c r="M36" s="20">
        <f>K36+L36</f>
        <v>0.53333333333333333</v>
      </c>
      <c r="N36" s="21">
        <f>(M36*24)*1000</f>
        <v>12800</v>
      </c>
      <c r="O36" s="21">
        <f>C56</f>
        <v>6044.4444444444453</v>
      </c>
      <c r="P36" s="4">
        <f>N36+O36</f>
        <v>18844.444444444445</v>
      </c>
      <c r="Q36" s="19">
        <f>ROUNDUP(P36, -2)</f>
        <v>18900</v>
      </c>
    </row>
    <row r="37" spans="1:17">
      <c r="E37" s="4"/>
      <c r="H37" s="20"/>
      <c r="J37" s="20"/>
      <c r="N37" s="21"/>
      <c r="O37" s="21"/>
      <c r="P37" s="4"/>
      <c r="Q37" s="19"/>
    </row>
    <row r="38" spans="1:17">
      <c r="G38" s="2" t="s">
        <v>61</v>
      </c>
      <c r="N38" s="21"/>
      <c r="O38" s="21"/>
      <c r="P38" s="4"/>
      <c r="Q38" s="19"/>
    </row>
    <row r="39" spans="1:17">
      <c r="A39" s="2" t="s">
        <v>54</v>
      </c>
      <c r="G39" s="2" t="s">
        <v>58</v>
      </c>
      <c r="H39" s="20">
        <v>0.19583333333333333</v>
      </c>
      <c r="I39" s="2" t="s">
        <v>59</v>
      </c>
      <c r="J39" s="20">
        <v>0.20277777777777781</v>
      </c>
      <c r="K39" s="20">
        <f>H39+J39</f>
        <v>0.39861111111111114</v>
      </c>
      <c r="L39" s="20">
        <v>0.16666666666666666</v>
      </c>
      <c r="M39" s="20">
        <f>K39+L39</f>
        <v>0.56527777777777777</v>
      </c>
      <c r="N39" s="21">
        <f>(M39*24)*1000</f>
        <v>13566.666666666666</v>
      </c>
      <c r="O39" s="21">
        <f>C57</f>
        <v>6889.4736842105267</v>
      </c>
      <c r="P39" s="4">
        <f>N39+O39</f>
        <v>20456.140350877191</v>
      </c>
      <c r="Q39" s="19">
        <f>ROUNDUP(P39, -2)</f>
        <v>20500</v>
      </c>
    </row>
    <row r="40" spans="1:17">
      <c r="A40" s="2" t="s">
        <v>49</v>
      </c>
      <c r="B40" s="4">
        <f>B32</f>
        <v>18000</v>
      </c>
      <c r="C40" s="2">
        <f>(B40*6)/44</f>
        <v>2454.5454545454545</v>
      </c>
      <c r="D40" s="2" t="s">
        <v>86</v>
      </c>
    </row>
    <row r="41" spans="1:17">
      <c r="C41" s="2">
        <f>(B40*6)/42</f>
        <v>2571.4285714285716</v>
      </c>
      <c r="D41" s="2" t="s">
        <v>88</v>
      </c>
      <c r="G41" s="2" t="s">
        <v>112</v>
      </c>
    </row>
    <row r="42" spans="1:17">
      <c r="C42" s="2">
        <f>(B40*6)/36</f>
        <v>3000</v>
      </c>
      <c r="D42" s="2" t="s">
        <v>87</v>
      </c>
      <c r="G42" s="2" t="s">
        <v>30</v>
      </c>
      <c r="H42" s="20">
        <v>0.22500000000000001</v>
      </c>
      <c r="I42" s="2" t="s">
        <v>31</v>
      </c>
      <c r="K42" s="20">
        <f>H42+J42</f>
        <v>0.22500000000000001</v>
      </c>
    </row>
    <row r="43" spans="1:17">
      <c r="A43" s="2" t="s">
        <v>48</v>
      </c>
    </row>
    <row r="44" spans="1:17">
      <c r="A44" s="2" t="s">
        <v>49</v>
      </c>
      <c r="B44" s="4">
        <f>B33</f>
        <v>20000</v>
      </c>
      <c r="C44" s="2">
        <f>(B44*6)/52</f>
        <v>2307.6923076923076</v>
      </c>
      <c r="D44" s="2" t="s">
        <v>50</v>
      </c>
      <c r="G44" s="2" t="s">
        <v>114</v>
      </c>
      <c r="I44" s="2" t="s">
        <v>31</v>
      </c>
    </row>
    <row r="45" spans="1:17">
      <c r="C45" s="2">
        <f>(B44*6)/38</f>
        <v>3157.8947368421054</v>
      </c>
      <c r="D45" s="2" t="s">
        <v>51</v>
      </c>
      <c r="G45" s="2" t="s">
        <v>30</v>
      </c>
      <c r="K45" s="2">
        <f>H45+J45</f>
        <v>0</v>
      </c>
    </row>
    <row r="46" spans="1:17">
      <c r="C46" s="2">
        <f>(B44*6)/36</f>
        <v>3333.3333333333335</v>
      </c>
      <c r="D46" s="2" t="s">
        <v>79</v>
      </c>
    </row>
    <row r="47" spans="1:17">
      <c r="A47" s="2" t="s">
        <v>46</v>
      </c>
      <c r="G47" s="2" t="s">
        <v>113</v>
      </c>
    </row>
    <row r="48" spans="1:17">
      <c r="A48" s="2" t="s">
        <v>49</v>
      </c>
      <c r="B48" s="4">
        <f>B34</f>
        <v>21900</v>
      </c>
      <c r="C48" s="2">
        <f>(B48*6)/52</f>
        <v>2526.9230769230771</v>
      </c>
      <c r="D48" s="2" t="s">
        <v>52</v>
      </c>
      <c r="G48" s="2" t="s">
        <v>30</v>
      </c>
      <c r="H48" s="20">
        <v>0.24583333333333335</v>
      </c>
      <c r="I48" s="2" t="s">
        <v>31</v>
      </c>
      <c r="K48" s="20">
        <f>H48+J48</f>
        <v>0.24583333333333335</v>
      </c>
    </row>
    <row r="49" spans="1:14">
      <c r="C49" s="2">
        <f>(B48*6)/38</f>
        <v>3457.8947368421054</v>
      </c>
      <c r="D49" s="2" t="s">
        <v>53</v>
      </c>
    </row>
    <row r="51" spans="1:14">
      <c r="A51" s="2" t="s">
        <v>62</v>
      </c>
    </row>
    <row r="52" spans="1:14">
      <c r="A52" s="2" t="s">
        <v>49</v>
      </c>
      <c r="B52" s="4">
        <f>B35</f>
        <v>54400</v>
      </c>
      <c r="C52" s="2">
        <f>(B52*1.1)/22</f>
        <v>2720.0000000000005</v>
      </c>
      <c r="D52" s="2" t="s">
        <v>73</v>
      </c>
    </row>
    <row r="53" spans="1:14">
      <c r="C53" s="2">
        <f>(B52*1.1)/18</f>
        <v>3324.4444444444448</v>
      </c>
      <c r="D53" s="2" t="s">
        <v>74</v>
      </c>
    </row>
    <row r="54" spans="1:14">
      <c r="C54" s="2">
        <f>(B52*1.1)/19</f>
        <v>3149.4736842105267</v>
      </c>
      <c r="D54" s="2" t="s">
        <v>75</v>
      </c>
    </row>
    <row r="55" spans="1:14">
      <c r="C55" s="2">
        <f>(B52*1.1)/16</f>
        <v>3740.0000000000005</v>
      </c>
      <c r="D55" s="2" t="s">
        <v>76</v>
      </c>
    </row>
    <row r="56" spans="1:14">
      <c r="C56" s="2">
        <f>C52+C53</f>
        <v>6044.4444444444453</v>
      </c>
      <c r="D56" s="2" t="s">
        <v>77</v>
      </c>
    </row>
    <row r="57" spans="1:14">
      <c r="C57" s="2">
        <f>C54+C55</f>
        <v>6889.4736842105267</v>
      </c>
      <c r="D57" s="2" t="s">
        <v>78</v>
      </c>
      <c r="H57" s="2" t="s">
        <v>100</v>
      </c>
      <c r="N57" s="4">
        <f>Q27</f>
        <v>14500</v>
      </c>
    </row>
    <row r="58" spans="1:14">
      <c r="H58" s="2" t="s">
        <v>101</v>
      </c>
      <c r="N58" s="4">
        <f>Q30</f>
        <v>15500</v>
      </c>
    </row>
    <row r="59" spans="1:14">
      <c r="H59" s="2" t="s">
        <v>102</v>
      </c>
      <c r="N59" s="4">
        <f>Q15</f>
        <v>15900</v>
      </c>
    </row>
    <row r="61" spans="1:14">
      <c r="H61" s="2" t="s">
        <v>103</v>
      </c>
      <c r="N61" s="4">
        <f>11600</f>
        <v>11600</v>
      </c>
    </row>
    <row r="62" spans="1:14">
      <c r="H62" s="2" t="s">
        <v>104</v>
      </c>
      <c r="N62" s="4">
        <f>Q33</f>
        <v>11900</v>
      </c>
    </row>
  </sheetData>
  <mergeCells count="10">
    <mergeCell ref="G32:J32"/>
    <mergeCell ref="G29:J29"/>
    <mergeCell ref="G5:J5"/>
    <mergeCell ref="G8:J8"/>
    <mergeCell ref="G11:J11"/>
    <mergeCell ref="G17:J17"/>
    <mergeCell ref="G20:J20"/>
    <mergeCell ref="G23:J23"/>
    <mergeCell ref="G26:J26"/>
    <mergeCell ref="G14:J1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3:AG91"/>
  <sheetViews>
    <sheetView topLeftCell="H37" workbookViewId="0">
      <selection activeCell="U44" sqref="U44"/>
    </sheetView>
  </sheetViews>
  <sheetFormatPr baseColWidth="10" defaultRowHeight="12"/>
  <cols>
    <col min="1" max="1" width="1.5703125" style="2" customWidth="1"/>
    <col min="2" max="2" width="22.5703125" style="2" customWidth="1"/>
    <col min="3" max="3" width="22.42578125" style="2" bestFit="1" customWidth="1"/>
    <col min="4" max="4" width="9.5703125" style="2" bestFit="1" customWidth="1"/>
    <col min="5" max="5" width="11.5703125" style="2" bestFit="1" customWidth="1"/>
    <col min="6" max="7" width="9.42578125" style="2" bestFit="1" customWidth="1"/>
    <col min="8" max="9" width="9.42578125" style="2" customWidth="1"/>
    <col min="10" max="10" width="24.5703125" style="2" bestFit="1" customWidth="1"/>
    <col min="11" max="11" width="24" style="2" bestFit="1" customWidth="1"/>
    <col min="12" max="13" width="4.85546875" style="2" bestFit="1" customWidth="1"/>
    <col min="14" max="14" width="6" style="2" bestFit="1" customWidth="1"/>
    <col min="15" max="15" width="6.7109375" style="2" bestFit="1" customWidth="1"/>
    <col min="16" max="16" width="6.140625" style="2" bestFit="1" customWidth="1"/>
    <col min="17" max="17" width="7" style="2" bestFit="1" customWidth="1"/>
    <col min="18" max="18" width="11.85546875" style="78" bestFit="1" customWidth="1"/>
    <col min="19" max="19" width="11.85546875" style="78" customWidth="1"/>
    <col min="20" max="20" width="7.85546875" style="2" bestFit="1" customWidth="1"/>
    <col min="21" max="21" width="7.5703125" style="2" bestFit="1" customWidth="1"/>
    <col min="22" max="22" width="12.28515625" style="2" bestFit="1" customWidth="1"/>
    <col min="23" max="23" width="7.5703125" style="2" bestFit="1" customWidth="1"/>
    <col min="24" max="24" width="2.7109375" style="2" bestFit="1" customWidth="1"/>
    <col min="25" max="25" width="4.85546875" style="2" bestFit="1" customWidth="1"/>
    <col min="26" max="26" width="9" style="2" bestFit="1" customWidth="1"/>
    <col min="27" max="27" width="6.7109375" style="2" bestFit="1" customWidth="1"/>
    <col min="28" max="28" width="6.140625" style="2" bestFit="1" customWidth="1"/>
    <col min="29" max="29" width="7.5703125" style="2" bestFit="1" customWidth="1"/>
    <col min="30" max="30" width="7.7109375" style="2" customWidth="1"/>
    <col min="31" max="31" width="9.140625" style="2" customWidth="1"/>
    <col min="32" max="32" width="9.85546875" style="2" customWidth="1"/>
    <col min="33" max="16384" width="11.42578125" style="2"/>
  </cols>
  <sheetData>
    <row r="3" spans="2:33" ht="12.75" thickBot="1">
      <c r="K3" s="114" t="s">
        <v>151</v>
      </c>
      <c r="L3" s="114"/>
      <c r="M3" s="114"/>
      <c r="N3" s="114"/>
      <c r="O3" s="114"/>
      <c r="P3" s="114"/>
      <c r="Q3" s="114"/>
      <c r="R3" s="114"/>
      <c r="S3" s="114"/>
      <c r="T3" s="114"/>
      <c r="U3" s="114"/>
    </row>
    <row r="4" spans="2:33" ht="12.75" customHeight="1" thickBot="1">
      <c r="C4" s="116" t="s">
        <v>125</v>
      </c>
      <c r="D4" s="117"/>
      <c r="E4" s="118"/>
      <c r="K4" s="55" t="s">
        <v>138</v>
      </c>
      <c r="L4" s="55" t="s">
        <v>136</v>
      </c>
      <c r="M4" s="55" t="s">
        <v>137</v>
      </c>
      <c r="N4" s="22" t="s">
        <v>160</v>
      </c>
      <c r="O4" s="22" t="s">
        <v>81</v>
      </c>
      <c r="P4" s="22" t="s">
        <v>82</v>
      </c>
      <c r="Q4" s="22" t="s">
        <v>135</v>
      </c>
      <c r="R4" s="22" t="s">
        <v>265</v>
      </c>
      <c r="S4" s="22" t="s">
        <v>330</v>
      </c>
      <c r="T4" s="22" t="s">
        <v>55</v>
      </c>
      <c r="U4" s="22" t="s">
        <v>161</v>
      </c>
      <c r="V4" s="5"/>
      <c r="W4" s="5"/>
      <c r="X4" s="5"/>
      <c r="Y4" s="5"/>
      <c r="Z4" s="58"/>
      <c r="AA4" s="58"/>
      <c r="AB4" s="58"/>
      <c r="AC4" s="58"/>
      <c r="AD4" s="58"/>
      <c r="AE4" s="58"/>
      <c r="AF4" s="58"/>
      <c r="AG4" s="5"/>
    </row>
    <row r="5" spans="2:33" ht="12.75" thickBot="1">
      <c r="C5" s="30"/>
      <c r="D5" s="36" t="s">
        <v>35</v>
      </c>
      <c r="E5" s="35" t="s">
        <v>36</v>
      </c>
      <c r="K5" s="26" t="s">
        <v>140</v>
      </c>
      <c r="L5" s="20">
        <v>0.19583333333333333</v>
      </c>
      <c r="M5" s="59">
        <v>6.805555555555555E-2</v>
      </c>
      <c r="N5" s="20">
        <f t="shared" ref="N5:N7" si="0">L5+M5</f>
        <v>0.2638888888888889</v>
      </c>
      <c r="O5" s="20">
        <v>0.16666666666666666</v>
      </c>
      <c r="P5" s="20">
        <f t="shared" ref="P5:P7" si="1">N5+O5</f>
        <v>0.43055555555555558</v>
      </c>
      <c r="Q5" s="21">
        <f t="shared" ref="Q5:Q8" si="2">(P5*24)*1000</f>
        <v>10333.333333333334</v>
      </c>
      <c r="R5" s="21">
        <f>Q5*1.17</f>
        <v>12090</v>
      </c>
      <c r="S5" s="95">
        <f>(P5*24)*1333</f>
        <v>13774.333333333334</v>
      </c>
      <c r="T5" s="4">
        <f>F17</f>
        <v>3253.3333333333335</v>
      </c>
      <c r="U5" s="21">
        <f>ROUNDUP((R5+T5), -2)</f>
        <v>15400</v>
      </c>
      <c r="V5" s="95"/>
      <c r="W5" s="21">
        <f>ROUNDUP((S5+T5), -2)</f>
        <v>17100</v>
      </c>
      <c r="X5" s="94"/>
      <c r="Y5" s="94"/>
      <c r="Z5" s="5"/>
      <c r="AA5" s="5"/>
      <c r="AB5" s="5"/>
      <c r="AC5" s="5"/>
      <c r="AD5" s="5"/>
      <c r="AE5" s="5"/>
      <c r="AF5" s="5"/>
      <c r="AG5" s="5"/>
    </row>
    <row r="6" spans="2:33">
      <c r="C6" s="65" t="s">
        <v>177</v>
      </c>
      <c r="D6" s="71">
        <v>17100</v>
      </c>
      <c r="E6" s="65"/>
      <c r="F6" s="66"/>
      <c r="G6" s="2">
        <v>17100</v>
      </c>
      <c r="K6" s="26" t="s">
        <v>139</v>
      </c>
      <c r="L6" s="20">
        <v>0.21180555555555555</v>
      </c>
      <c r="M6" s="59">
        <v>7.4999999999999997E-2</v>
      </c>
      <c r="N6" s="20">
        <f t="shared" si="0"/>
        <v>0.28680555555555554</v>
      </c>
      <c r="O6" s="20">
        <v>0.16666666666666666</v>
      </c>
      <c r="P6" s="20">
        <f t="shared" si="1"/>
        <v>0.45347222222222217</v>
      </c>
      <c r="Q6" s="21">
        <f t="shared" si="2"/>
        <v>10883.333333333332</v>
      </c>
      <c r="R6" s="21">
        <f t="shared" ref="R6:R22" si="3">Q6*1.17</f>
        <v>12733.499999999998</v>
      </c>
      <c r="S6" s="95">
        <f>(P6*24)*1333</f>
        <v>14507.483333333334</v>
      </c>
      <c r="T6" s="4">
        <f>G17</f>
        <v>3333.3333333333335</v>
      </c>
      <c r="U6" s="21">
        <f t="shared" ref="U6:U8" si="4">ROUNDUP((R6+T6), -2)</f>
        <v>16100</v>
      </c>
      <c r="V6" s="5"/>
      <c r="W6" s="21">
        <f t="shared" ref="W6:W22" si="5">ROUNDUP((S6+T6), -2)</f>
        <v>17900</v>
      </c>
      <c r="X6" s="5"/>
      <c r="Y6" s="56"/>
      <c r="Z6" s="56"/>
      <c r="AA6" s="56"/>
      <c r="AB6" s="56"/>
      <c r="AC6" s="57"/>
      <c r="AD6" s="57"/>
      <c r="AE6" s="6"/>
      <c r="AF6" s="6"/>
      <c r="AG6" s="6"/>
    </row>
    <row r="7" spans="2:33">
      <c r="C7" s="33" t="s">
        <v>134</v>
      </c>
      <c r="D7" s="50">
        <v>24400</v>
      </c>
      <c r="E7" s="51"/>
      <c r="F7" s="78" t="s">
        <v>254</v>
      </c>
      <c r="G7" s="2">
        <v>21800</v>
      </c>
      <c r="K7" s="26" t="s">
        <v>141</v>
      </c>
      <c r="L7" s="20">
        <v>0.21180555555555555</v>
      </c>
      <c r="M7" s="20">
        <v>8.1944444444444445E-2</v>
      </c>
      <c r="N7" s="20">
        <f t="shared" si="0"/>
        <v>0.29375000000000001</v>
      </c>
      <c r="O7" s="20">
        <v>0.16666666666666666</v>
      </c>
      <c r="P7" s="20">
        <f t="shared" si="1"/>
        <v>0.4604166666666667</v>
      </c>
      <c r="Q7" s="21">
        <f t="shared" si="2"/>
        <v>11050</v>
      </c>
      <c r="R7" s="21">
        <f t="shared" si="3"/>
        <v>12928.5</v>
      </c>
      <c r="S7" s="95">
        <f>(P7*24)*1333</f>
        <v>14729.650000000001</v>
      </c>
      <c r="T7" s="77">
        <f>H17</f>
        <v>3613.3333333333335</v>
      </c>
      <c r="U7" s="21">
        <f t="shared" si="4"/>
        <v>16600</v>
      </c>
      <c r="V7" s="5"/>
      <c r="W7" s="21">
        <f t="shared" si="5"/>
        <v>18400</v>
      </c>
      <c r="X7" s="5"/>
      <c r="Y7" s="5"/>
      <c r="Z7" s="56"/>
      <c r="AA7" s="56"/>
      <c r="AB7" s="56"/>
      <c r="AC7" s="57"/>
      <c r="AD7" s="57"/>
      <c r="AE7" s="6"/>
      <c r="AF7" s="6"/>
      <c r="AG7" s="5"/>
    </row>
    <row r="8" spans="2:33">
      <c r="C8" s="33" t="s">
        <v>133</v>
      </c>
      <c r="D8" s="50">
        <v>25000</v>
      </c>
      <c r="E8" s="51"/>
      <c r="G8" s="2">
        <v>24600</v>
      </c>
      <c r="K8" s="2" t="s">
        <v>181</v>
      </c>
      <c r="L8" s="20">
        <v>0.19027777777777777</v>
      </c>
      <c r="M8" s="20">
        <v>5.6944444444444443E-2</v>
      </c>
      <c r="N8" s="20">
        <f>L8+M8</f>
        <v>0.2472222222222222</v>
      </c>
      <c r="O8" s="20">
        <v>0.16666666666666666</v>
      </c>
      <c r="P8" s="20">
        <f>N8+O8</f>
        <v>0.41388888888888886</v>
      </c>
      <c r="Q8" s="21">
        <f t="shared" si="2"/>
        <v>9933.3333333333339</v>
      </c>
      <c r="R8" s="21">
        <f t="shared" si="3"/>
        <v>11622</v>
      </c>
      <c r="S8" s="95">
        <f>(P8*24)*1333</f>
        <v>13241.133333333333</v>
      </c>
      <c r="T8" s="77">
        <f>E18</f>
        <v>2502.439024390244</v>
      </c>
      <c r="U8" s="21">
        <f t="shared" si="4"/>
        <v>14200</v>
      </c>
      <c r="V8" s="94"/>
      <c r="W8" s="21">
        <f t="shared" si="5"/>
        <v>15800</v>
      </c>
      <c r="X8" s="94"/>
      <c r="Y8" s="94"/>
      <c r="Z8" s="56"/>
      <c r="AA8" s="56"/>
      <c r="AB8" s="56"/>
      <c r="AC8" s="57"/>
      <c r="AD8" s="57"/>
      <c r="AE8" s="6"/>
      <c r="AF8" s="6"/>
      <c r="AG8" s="5"/>
    </row>
    <row r="9" spans="2:33">
      <c r="C9" s="33" t="s">
        <v>132</v>
      </c>
      <c r="D9" s="50">
        <v>27100</v>
      </c>
      <c r="E9" s="51"/>
      <c r="G9" s="2">
        <v>27100</v>
      </c>
      <c r="R9" s="21"/>
      <c r="S9" s="95"/>
      <c r="U9" s="21"/>
      <c r="V9" s="5"/>
      <c r="W9" s="21"/>
      <c r="X9" s="5"/>
      <c r="Y9" s="56"/>
      <c r="Z9" s="56"/>
      <c r="AA9" s="56"/>
      <c r="AB9" s="56"/>
      <c r="AC9" s="57"/>
      <c r="AD9" s="57"/>
      <c r="AE9" s="6"/>
      <c r="AF9" s="6"/>
      <c r="AG9" s="6"/>
    </row>
    <row r="10" spans="2:33" ht="12.75" thickBot="1">
      <c r="B10" s="27"/>
      <c r="C10" s="34" t="s">
        <v>34</v>
      </c>
      <c r="D10" s="52">
        <v>71700</v>
      </c>
      <c r="E10" s="53">
        <v>62000</v>
      </c>
      <c r="K10" s="2" t="s">
        <v>182</v>
      </c>
      <c r="L10" s="59">
        <v>0.21388888888888891</v>
      </c>
      <c r="M10" s="20">
        <v>6.805555555555555E-2</v>
      </c>
      <c r="N10" s="20">
        <f t="shared" ref="N10:N20" si="6">L10+M10</f>
        <v>0.28194444444444444</v>
      </c>
      <c r="O10" s="20">
        <v>0.16666666666666666</v>
      </c>
      <c r="P10" s="20">
        <f t="shared" ref="P10:P20" si="7">N10+O10</f>
        <v>0.44861111111111107</v>
      </c>
      <c r="Q10" s="21">
        <f t="shared" ref="Q10:Q20" si="8">(P10*24)*1000</f>
        <v>10766.666666666666</v>
      </c>
      <c r="R10" s="21">
        <f t="shared" si="3"/>
        <v>12596.999999999998</v>
      </c>
      <c r="S10" s="95">
        <f t="shared" ref="S10:S20" si="9">(P10*24)*1333</f>
        <v>14351.966666666665</v>
      </c>
      <c r="T10" s="4">
        <f>F19</f>
        <v>3660</v>
      </c>
      <c r="U10" s="21">
        <f>ROUNDUP((R10+T10), -2)</f>
        <v>16300</v>
      </c>
      <c r="V10" s="5"/>
      <c r="W10" s="21">
        <f t="shared" si="5"/>
        <v>18100</v>
      </c>
      <c r="X10" s="5"/>
      <c r="Y10" s="56"/>
      <c r="Z10" s="56"/>
      <c r="AA10" s="56"/>
      <c r="AB10" s="56"/>
      <c r="AC10" s="57"/>
      <c r="AD10" s="57"/>
      <c r="AE10" s="6"/>
      <c r="AF10" s="6"/>
      <c r="AG10" s="6"/>
    </row>
    <row r="11" spans="2:33">
      <c r="C11" s="78" t="s">
        <v>239</v>
      </c>
      <c r="D11" s="79">
        <v>258016</v>
      </c>
      <c r="J11" s="54"/>
      <c r="K11" s="2" t="s">
        <v>142</v>
      </c>
      <c r="L11" s="59">
        <v>0.21458333333333335</v>
      </c>
      <c r="M11" s="59">
        <v>6.805555555555555E-2</v>
      </c>
      <c r="N11" s="20">
        <f t="shared" si="6"/>
        <v>0.28263888888888888</v>
      </c>
      <c r="O11" s="20">
        <v>0.16666666666666666</v>
      </c>
      <c r="P11" s="20">
        <f t="shared" si="7"/>
        <v>0.44930555555555551</v>
      </c>
      <c r="Q11" s="21">
        <f t="shared" si="8"/>
        <v>10783.333333333332</v>
      </c>
      <c r="R11" s="21">
        <f t="shared" si="3"/>
        <v>12616.499999999998</v>
      </c>
      <c r="S11" s="95">
        <f t="shared" si="9"/>
        <v>14374.183333333331</v>
      </c>
      <c r="T11" s="4">
        <f>F20</f>
        <v>3753.8461538461538</v>
      </c>
      <c r="U11" s="61">
        <f>ROUNDUP((R11+T11), -2)</f>
        <v>16400</v>
      </c>
      <c r="V11" s="5"/>
      <c r="W11" s="21">
        <f t="shared" si="5"/>
        <v>18200</v>
      </c>
      <c r="X11" s="5"/>
      <c r="Y11" s="5"/>
      <c r="Z11" s="56"/>
      <c r="AA11" s="56"/>
      <c r="AB11" s="56"/>
      <c r="AC11" s="57"/>
      <c r="AD11" s="57"/>
      <c r="AE11" s="6"/>
      <c r="AF11" s="6"/>
      <c r="AG11" s="5"/>
    </row>
    <row r="12" spans="2:33">
      <c r="C12" s="78" t="s">
        <v>246</v>
      </c>
      <c r="D12" s="79">
        <v>48000</v>
      </c>
      <c r="J12" s="27"/>
      <c r="K12" s="2" t="s">
        <v>143</v>
      </c>
      <c r="L12" s="20">
        <v>0.19583333333333333</v>
      </c>
      <c r="M12" s="59">
        <v>7.4999999999999997E-2</v>
      </c>
      <c r="N12" s="20">
        <f t="shared" si="6"/>
        <v>0.27083333333333331</v>
      </c>
      <c r="O12" s="20">
        <v>0.16666666666666666</v>
      </c>
      <c r="P12" s="20">
        <f t="shared" si="7"/>
        <v>0.4375</v>
      </c>
      <c r="Q12" s="21">
        <f t="shared" si="8"/>
        <v>10500</v>
      </c>
      <c r="R12" s="21">
        <f t="shared" si="3"/>
        <v>12285</v>
      </c>
      <c r="S12" s="95">
        <f t="shared" si="9"/>
        <v>13996.5</v>
      </c>
      <c r="T12" s="4">
        <f>G20</f>
        <v>3846.1538461538462</v>
      </c>
      <c r="U12" s="21">
        <f>ROUNDUP((R12+T12), -2)</f>
        <v>16200</v>
      </c>
      <c r="V12" s="94"/>
      <c r="W12" s="21">
        <f t="shared" si="5"/>
        <v>17900</v>
      </c>
      <c r="X12" s="94"/>
      <c r="Y12" s="94"/>
      <c r="Z12" s="56"/>
      <c r="AA12" s="56"/>
      <c r="AB12" s="56"/>
      <c r="AC12" s="57"/>
      <c r="AD12" s="57"/>
      <c r="AE12" s="6"/>
      <c r="AF12" s="6"/>
      <c r="AG12" s="5"/>
    </row>
    <row r="13" spans="2:33">
      <c r="C13" s="78" t="s">
        <v>302</v>
      </c>
      <c r="D13" s="79"/>
      <c r="F13" s="8" t="s">
        <v>186</v>
      </c>
      <c r="G13" s="2" t="s">
        <v>184</v>
      </c>
      <c r="H13" s="2" t="s">
        <v>185</v>
      </c>
      <c r="J13" s="29"/>
      <c r="K13" s="2" t="s">
        <v>144</v>
      </c>
      <c r="L13" s="20">
        <v>0.19583333333333333</v>
      </c>
      <c r="M13" s="20">
        <v>8.1944444444444445E-2</v>
      </c>
      <c r="N13" s="20">
        <f t="shared" si="6"/>
        <v>0.27777777777777779</v>
      </c>
      <c r="O13" s="20">
        <v>0.16666666666666666</v>
      </c>
      <c r="P13" s="20">
        <f t="shared" si="7"/>
        <v>0.44444444444444442</v>
      </c>
      <c r="Q13" s="21">
        <f t="shared" si="8"/>
        <v>10666.666666666666</v>
      </c>
      <c r="R13" s="21">
        <f t="shared" si="3"/>
        <v>12479.999999999998</v>
      </c>
      <c r="S13" s="95">
        <f t="shared" si="9"/>
        <v>14218.666666666666</v>
      </c>
      <c r="T13" s="4">
        <f>H20</f>
        <v>4169.2307692307695</v>
      </c>
      <c r="U13" s="21">
        <f t="shared" ref="U13:U20" si="10">ROUNDUP((R13+T13), -2)</f>
        <v>16700</v>
      </c>
      <c r="V13" s="5"/>
      <c r="W13" s="21">
        <f t="shared" si="5"/>
        <v>18400</v>
      </c>
      <c r="X13" s="5"/>
      <c r="Y13" s="56"/>
      <c r="Z13" s="56"/>
      <c r="AA13" s="56"/>
      <c r="AB13" s="56"/>
      <c r="AC13" s="57"/>
      <c r="AD13" s="57"/>
      <c r="AE13" s="6"/>
      <c r="AF13" s="6"/>
      <c r="AG13" s="6"/>
    </row>
    <row r="14" spans="2:33" ht="12.75" thickBot="1">
      <c r="C14" s="78" t="s">
        <v>322</v>
      </c>
      <c r="D14" s="79">
        <v>10000</v>
      </c>
      <c r="J14" s="29"/>
      <c r="K14" s="2" t="s">
        <v>183</v>
      </c>
      <c r="L14" s="20">
        <v>0.20416666666666669</v>
      </c>
      <c r="M14" s="20">
        <v>5.6944444444444443E-2</v>
      </c>
      <c r="N14" s="20">
        <f t="shared" si="6"/>
        <v>0.26111111111111113</v>
      </c>
      <c r="O14" s="20">
        <v>0.16666666666666666</v>
      </c>
      <c r="P14" s="20">
        <f t="shared" si="7"/>
        <v>0.42777777777777781</v>
      </c>
      <c r="Q14" s="21">
        <f t="shared" si="8"/>
        <v>10266.666666666668</v>
      </c>
      <c r="R14" s="21">
        <f t="shared" si="3"/>
        <v>12012</v>
      </c>
      <c r="S14" s="95">
        <f t="shared" si="9"/>
        <v>13685.466666666667</v>
      </c>
      <c r="T14" s="4">
        <f>E21</f>
        <v>2850</v>
      </c>
      <c r="U14" s="21">
        <f t="shared" si="10"/>
        <v>14900</v>
      </c>
      <c r="V14" s="5"/>
      <c r="W14" s="21">
        <f t="shared" si="5"/>
        <v>16600</v>
      </c>
      <c r="X14" s="5"/>
      <c r="Y14" s="5"/>
      <c r="Z14" s="56"/>
      <c r="AA14" s="56"/>
      <c r="AB14" s="56"/>
      <c r="AC14" s="57"/>
      <c r="AD14" s="57"/>
      <c r="AE14" s="6"/>
      <c r="AF14" s="6"/>
      <c r="AG14" s="5"/>
    </row>
    <row r="15" spans="2:33" ht="12.75" customHeight="1" thickBot="1">
      <c r="E15" s="119" t="s">
        <v>129</v>
      </c>
      <c r="F15" s="120"/>
      <c r="G15" s="120"/>
      <c r="H15" s="121"/>
      <c r="I15" s="76"/>
      <c r="J15" s="29"/>
      <c r="K15" s="2" t="s">
        <v>145</v>
      </c>
      <c r="L15" s="20">
        <v>0.19583333333333333</v>
      </c>
      <c r="M15" s="59">
        <v>6.805555555555555E-2</v>
      </c>
      <c r="N15" s="20">
        <f t="shared" si="6"/>
        <v>0.2638888888888889</v>
      </c>
      <c r="O15" s="20">
        <v>0.16666666666666666</v>
      </c>
      <c r="P15" s="20">
        <f t="shared" si="7"/>
        <v>0.43055555555555558</v>
      </c>
      <c r="Q15" s="21">
        <f t="shared" si="8"/>
        <v>10333.333333333334</v>
      </c>
      <c r="R15" s="21">
        <f t="shared" si="3"/>
        <v>12090</v>
      </c>
      <c r="S15" s="95">
        <f t="shared" si="9"/>
        <v>13774.333333333334</v>
      </c>
      <c r="T15" s="4">
        <f>F21</f>
        <v>4066.6666666666665</v>
      </c>
      <c r="U15" s="21">
        <f t="shared" si="10"/>
        <v>16200</v>
      </c>
      <c r="V15" s="94"/>
      <c r="W15" s="21">
        <f t="shared" si="5"/>
        <v>17900</v>
      </c>
      <c r="X15" s="94"/>
      <c r="Y15" s="94"/>
      <c r="Z15" s="56"/>
      <c r="AA15" s="56"/>
      <c r="AB15" s="56"/>
      <c r="AC15" s="57"/>
      <c r="AD15" s="57"/>
      <c r="AE15" s="6"/>
      <c r="AF15" s="6"/>
      <c r="AG15" s="5"/>
    </row>
    <row r="16" spans="2:33" ht="12.75" thickBot="1">
      <c r="B16" s="122" t="s">
        <v>120</v>
      </c>
      <c r="C16" s="123"/>
      <c r="D16" s="123"/>
      <c r="E16" s="2" t="s">
        <v>178</v>
      </c>
      <c r="F16" s="34" t="s">
        <v>126</v>
      </c>
      <c r="G16" s="34" t="s">
        <v>127</v>
      </c>
      <c r="H16" s="32" t="s">
        <v>128</v>
      </c>
      <c r="I16" s="27"/>
      <c r="J16" s="29"/>
      <c r="K16" s="2" t="s">
        <v>146</v>
      </c>
      <c r="L16" s="59">
        <v>0.23611111111111113</v>
      </c>
      <c r="M16" s="59">
        <v>7.4999999999999997E-2</v>
      </c>
      <c r="N16" s="20">
        <f t="shared" si="6"/>
        <v>0.31111111111111112</v>
      </c>
      <c r="O16" s="20">
        <v>0.16666666666666666</v>
      </c>
      <c r="P16" s="20">
        <f t="shared" si="7"/>
        <v>0.47777777777777775</v>
      </c>
      <c r="Q16" s="21">
        <f t="shared" si="8"/>
        <v>11466.666666666664</v>
      </c>
      <c r="R16" s="21">
        <f t="shared" si="3"/>
        <v>13415.999999999996</v>
      </c>
      <c r="S16" s="95">
        <f t="shared" si="9"/>
        <v>15285.066666666664</v>
      </c>
      <c r="T16" s="4">
        <f>G21</f>
        <v>4166.666666666667</v>
      </c>
      <c r="U16" s="60">
        <f t="shared" si="10"/>
        <v>17600</v>
      </c>
      <c r="V16" s="5"/>
      <c r="W16" s="21">
        <f t="shared" si="5"/>
        <v>19500</v>
      </c>
      <c r="X16" s="5"/>
      <c r="Y16" s="56"/>
      <c r="Z16" s="56"/>
      <c r="AA16" s="56"/>
      <c r="AB16" s="56"/>
      <c r="AC16" s="57"/>
      <c r="AD16" s="57"/>
      <c r="AE16" s="6"/>
      <c r="AF16" s="6"/>
      <c r="AG16" s="6"/>
    </row>
    <row r="17" spans="1:33">
      <c r="A17" s="27"/>
      <c r="B17" s="41" t="s">
        <v>39</v>
      </c>
      <c r="C17" s="44" t="s">
        <v>117</v>
      </c>
      <c r="D17" s="67">
        <f>ROUNDDOWN(6000/133, 0)</f>
        <v>45</v>
      </c>
      <c r="E17" s="72">
        <f>(D6*6)/D17</f>
        <v>2280</v>
      </c>
      <c r="F17" s="37">
        <f>(D7*6)/D17</f>
        <v>3253.3333333333335</v>
      </c>
      <c r="G17" s="37">
        <f>(D8*6)/D17</f>
        <v>3333.3333333333335</v>
      </c>
      <c r="H17" s="39">
        <f>(D9*6)/D17</f>
        <v>3613.3333333333335</v>
      </c>
      <c r="I17" s="29"/>
      <c r="J17" s="4"/>
      <c r="K17" s="2" t="s">
        <v>147</v>
      </c>
      <c r="L17" s="20">
        <v>0.23611111111111113</v>
      </c>
      <c r="M17" s="20">
        <v>7.4999999999999997E-2</v>
      </c>
      <c r="N17" s="20">
        <f t="shared" si="6"/>
        <v>0.31111111111111112</v>
      </c>
      <c r="O17" s="20">
        <v>0.16666666666666666</v>
      </c>
      <c r="P17" s="20">
        <f t="shared" si="7"/>
        <v>0.47777777777777775</v>
      </c>
      <c r="Q17" s="21">
        <f t="shared" si="8"/>
        <v>11466.666666666664</v>
      </c>
      <c r="R17" s="21">
        <f t="shared" si="3"/>
        <v>13415.999999999996</v>
      </c>
      <c r="S17" s="95">
        <f t="shared" si="9"/>
        <v>15285.066666666664</v>
      </c>
      <c r="T17" s="4">
        <f>H21</f>
        <v>4516.666666666667</v>
      </c>
      <c r="U17" s="21">
        <f t="shared" si="10"/>
        <v>18000</v>
      </c>
      <c r="V17" s="5"/>
      <c r="W17" s="21">
        <f t="shared" si="5"/>
        <v>19900</v>
      </c>
      <c r="X17" s="5"/>
      <c r="Y17" s="56"/>
      <c r="Z17" s="56"/>
      <c r="AA17" s="56"/>
      <c r="AB17" s="56"/>
      <c r="AC17" s="57"/>
      <c r="AD17" s="57"/>
      <c r="AE17" s="6"/>
      <c r="AF17" s="6"/>
      <c r="AG17" s="6"/>
    </row>
    <row r="18" spans="1:33">
      <c r="B18" s="42"/>
      <c r="C18" s="2" t="s">
        <v>179</v>
      </c>
      <c r="D18" s="68">
        <f>ROUNDDOWN(6000/143, 0)</f>
        <v>41</v>
      </c>
      <c r="E18" s="73">
        <f>(D6*6)/D18</f>
        <v>2502.439024390244</v>
      </c>
      <c r="F18" s="37">
        <f>(D7*6)/D18</f>
        <v>3570.731707317073</v>
      </c>
      <c r="G18" s="37">
        <f>(D8*6)/D18</f>
        <v>3658.5365853658536</v>
      </c>
      <c r="H18" s="39">
        <f>(D9*6)/D18</f>
        <v>3965.8536585365855</v>
      </c>
      <c r="I18" s="29"/>
      <c r="J18" s="4"/>
      <c r="K18" s="2" t="s">
        <v>148</v>
      </c>
      <c r="L18" s="56">
        <v>0.22500000000000001</v>
      </c>
      <c r="M18" s="59">
        <v>6.805555555555555E-2</v>
      </c>
      <c r="N18" s="20">
        <f t="shared" si="6"/>
        <v>0.29305555555555557</v>
      </c>
      <c r="O18" s="20">
        <v>0.16666666666666666</v>
      </c>
      <c r="P18" s="20">
        <f t="shared" si="7"/>
        <v>0.45972222222222225</v>
      </c>
      <c r="Q18" s="21">
        <f t="shared" si="8"/>
        <v>11033.333333333336</v>
      </c>
      <c r="R18" s="21">
        <f t="shared" si="3"/>
        <v>12909.000000000002</v>
      </c>
      <c r="S18" s="95">
        <f t="shared" si="9"/>
        <v>14707.433333333336</v>
      </c>
      <c r="T18" s="4">
        <f>F22</f>
        <v>4305.8823529411766</v>
      </c>
      <c r="U18" s="21">
        <f t="shared" si="10"/>
        <v>17300</v>
      </c>
      <c r="W18" s="21">
        <f t="shared" si="5"/>
        <v>19100</v>
      </c>
      <c r="X18" s="5"/>
      <c r="Y18" s="56"/>
      <c r="Z18" s="56"/>
      <c r="AA18" s="56"/>
      <c r="AB18" s="56"/>
      <c r="AC18" s="57"/>
      <c r="AD18" s="57"/>
      <c r="AE18" s="6"/>
      <c r="AF18" s="6"/>
      <c r="AG18" s="6"/>
    </row>
    <row r="19" spans="1:33">
      <c r="B19" s="42"/>
      <c r="C19" s="2" t="s">
        <v>180</v>
      </c>
      <c r="D19" s="68">
        <f>ROUNDDOWN(6000/149, 0)</f>
        <v>40</v>
      </c>
      <c r="E19" s="73">
        <f>(D6*6)/D19</f>
        <v>2565</v>
      </c>
      <c r="F19" s="37">
        <f>(D7*6)/D19</f>
        <v>3660</v>
      </c>
      <c r="G19" s="37">
        <f>(D8*6)/D19</f>
        <v>3750</v>
      </c>
      <c r="H19" s="39">
        <f>(D9*6)/D19</f>
        <v>4065</v>
      </c>
      <c r="I19" s="29"/>
      <c r="J19" s="4"/>
      <c r="K19" s="2" t="s">
        <v>149</v>
      </c>
      <c r="L19" s="59">
        <v>0.23819444444444446</v>
      </c>
      <c r="M19" s="59">
        <v>7.4999999999999997E-2</v>
      </c>
      <c r="N19" s="20">
        <f t="shared" si="6"/>
        <v>0.31319444444444444</v>
      </c>
      <c r="O19" s="20">
        <v>0.16666666666666666</v>
      </c>
      <c r="P19" s="20">
        <f t="shared" si="7"/>
        <v>0.47986111111111107</v>
      </c>
      <c r="Q19" s="21">
        <f t="shared" si="8"/>
        <v>11516.666666666666</v>
      </c>
      <c r="R19" s="21">
        <f t="shared" si="3"/>
        <v>13474.499999999998</v>
      </c>
      <c r="S19" s="95">
        <f t="shared" si="9"/>
        <v>15351.716666666665</v>
      </c>
      <c r="T19" s="4">
        <f>G22</f>
        <v>4411.7647058823532</v>
      </c>
      <c r="U19" s="60">
        <f t="shared" si="10"/>
        <v>17900</v>
      </c>
      <c r="V19" s="5"/>
      <c r="W19" s="21">
        <f t="shared" si="5"/>
        <v>19800</v>
      </c>
      <c r="X19" s="5"/>
      <c r="Y19" s="56"/>
      <c r="Z19" s="56"/>
      <c r="AA19" s="56"/>
      <c r="AB19" s="56"/>
      <c r="AC19" s="57"/>
      <c r="AD19" s="57"/>
      <c r="AE19" s="6"/>
      <c r="AF19" s="6"/>
      <c r="AG19" s="6"/>
    </row>
    <row r="20" spans="1:33" ht="12.75" thickBot="1">
      <c r="B20" s="43"/>
      <c r="C20" s="45" t="s">
        <v>118</v>
      </c>
      <c r="D20" s="68">
        <f>ROUNDDOWN(6000/151, 0)</f>
        <v>39</v>
      </c>
      <c r="E20" s="74">
        <f>(D6*6)/D20</f>
        <v>2630.7692307692309</v>
      </c>
      <c r="F20" s="37">
        <f>(D7*6)/D20</f>
        <v>3753.8461538461538</v>
      </c>
      <c r="G20" s="37">
        <f>(D8*6)/D20</f>
        <v>3846.1538461538462</v>
      </c>
      <c r="H20" s="39">
        <f>(D9*6)/D20</f>
        <v>4169.2307692307695</v>
      </c>
      <c r="I20" s="29"/>
      <c r="J20" s="4"/>
      <c r="K20" s="4" t="s">
        <v>150</v>
      </c>
      <c r="L20" s="20">
        <v>0.19583333333333333</v>
      </c>
      <c r="M20" s="20">
        <v>8.1944444444444445E-2</v>
      </c>
      <c r="N20" s="20">
        <f t="shared" si="6"/>
        <v>0.27777777777777779</v>
      </c>
      <c r="O20" s="20">
        <v>0.16666666666666666</v>
      </c>
      <c r="P20" s="20">
        <f t="shared" si="7"/>
        <v>0.44444444444444442</v>
      </c>
      <c r="Q20" s="21">
        <f t="shared" si="8"/>
        <v>10666.666666666666</v>
      </c>
      <c r="R20" s="21">
        <f t="shared" si="3"/>
        <v>12479.999999999998</v>
      </c>
      <c r="S20" s="95">
        <f t="shared" si="9"/>
        <v>14218.666666666666</v>
      </c>
      <c r="T20" s="4">
        <f>H22</f>
        <v>4782.3529411764703</v>
      </c>
      <c r="U20" s="21">
        <f t="shared" si="10"/>
        <v>17300</v>
      </c>
      <c r="V20" s="5"/>
      <c r="W20" s="21">
        <f t="shared" si="5"/>
        <v>19100</v>
      </c>
      <c r="X20" s="5"/>
      <c r="Y20" s="56"/>
      <c r="Z20" s="56"/>
      <c r="AA20" s="56"/>
      <c r="AB20" s="56"/>
      <c r="AC20" s="57"/>
      <c r="AD20" s="57"/>
      <c r="AE20" s="6"/>
      <c r="AF20" s="6"/>
      <c r="AG20" s="6"/>
    </row>
    <row r="21" spans="1:33">
      <c r="B21" s="70"/>
      <c r="C21" s="45" t="s">
        <v>116</v>
      </c>
      <c r="D21" s="68">
        <f>ROUNDDOWN(6000/163, 0)</f>
        <v>36</v>
      </c>
      <c r="E21" s="73">
        <f>(D6*6)/D21</f>
        <v>2850</v>
      </c>
      <c r="F21" s="37">
        <f>(D7*6)/D21</f>
        <v>4066.6666666666665</v>
      </c>
      <c r="G21" s="37">
        <f>(D8*6)/D21</f>
        <v>4166.666666666667</v>
      </c>
      <c r="H21" s="39">
        <f>(D9*6)/D21</f>
        <v>4516.666666666667</v>
      </c>
      <c r="I21" s="29"/>
      <c r="J21" s="4"/>
      <c r="R21" s="21"/>
      <c r="S21" s="95"/>
      <c r="W21" s="21"/>
      <c r="Y21" s="56"/>
      <c r="Z21" s="56"/>
      <c r="AA21" s="56"/>
      <c r="AB21" s="56"/>
      <c r="AC21" s="57"/>
      <c r="AD21" s="57"/>
      <c r="AE21" s="6"/>
      <c r="AF21" s="6"/>
      <c r="AG21" s="6"/>
    </row>
    <row r="22" spans="1:33" ht="12.75" thickBot="1">
      <c r="A22" s="27"/>
      <c r="C22" s="46" t="s">
        <v>119</v>
      </c>
      <c r="D22" s="69">
        <f>ROUNDDOWN(6000/173, 0)</f>
        <v>34</v>
      </c>
      <c r="E22" s="75">
        <f>(D6*6)/D22</f>
        <v>3017.6470588235293</v>
      </c>
      <c r="F22" s="38">
        <f>(D7*6)/D22</f>
        <v>4305.8823529411766</v>
      </c>
      <c r="G22" s="38">
        <f>(D8*6)/D22</f>
        <v>4411.7647058823532</v>
      </c>
      <c r="H22" s="31">
        <f>(D9*6)/D22</f>
        <v>4782.3529411764703</v>
      </c>
      <c r="I22" s="29"/>
      <c r="J22" s="4"/>
      <c r="K22" s="2" t="s">
        <v>148</v>
      </c>
      <c r="L22" s="59">
        <v>0.22500000000000001</v>
      </c>
      <c r="M22" s="59">
        <v>6.1111111111111116E-2</v>
      </c>
      <c r="N22" s="20">
        <f>L22+M22</f>
        <v>0.28611111111111109</v>
      </c>
      <c r="O22" s="20">
        <v>0.16666666666666666</v>
      </c>
      <c r="P22" s="20">
        <f>N22+O22</f>
        <v>0.45277777777777772</v>
      </c>
      <c r="Q22" s="21">
        <f>(P22*24)*1000</f>
        <v>10866.666666666666</v>
      </c>
      <c r="R22" s="21">
        <f t="shared" si="3"/>
        <v>12713.999999999998</v>
      </c>
      <c r="S22" s="95">
        <f>(P22*24)*1333</f>
        <v>14485.266666666665</v>
      </c>
      <c r="T22" s="4">
        <f>F22</f>
        <v>4305.8823529411766</v>
      </c>
      <c r="U22" s="57">
        <f>ROUNDUP((Q22+T22), -2)</f>
        <v>15200</v>
      </c>
      <c r="V22" s="56" t="s">
        <v>163</v>
      </c>
      <c r="W22" s="21">
        <f t="shared" si="5"/>
        <v>18800</v>
      </c>
      <c r="X22" s="5"/>
      <c r="Z22" s="56"/>
      <c r="AA22" s="56"/>
      <c r="AB22" s="56"/>
      <c r="AC22" s="57"/>
      <c r="AD22" s="57"/>
      <c r="AE22" s="6"/>
      <c r="AF22" s="6"/>
      <c r="AG22" s="6"/>
    </row>
    <row r="23" spans="1:33" s="78" customFormat="1">
      <c r="A23" s="27"/>
      <c r="C23" s="27"/>
      <c r="D23" s="27"/>
      <c r="E23" s="97"/>
      <c r="F23" s="29"/>
      <c r="G23" s="29"/>
      <c r="H23" s="29"/>
      <c r="I23" s="29"/>
      <c r="J23" s="79"/>
      <c r="L23" s="56"/>
      <c r="M23" s="56"/>
      <c r="N23" s="20"/>
      <c r="O23" s="20"/>
      <c r="P23" s="20"/>
      <c r="Q23" s="21"/>
      <c r="R23" s="21"/>
      <c r="S23" s="21"/>
      <c r="T23" s="79"/>
      <c r="U23" s="57"/>
      <c r="V23" s="56"/>
      <c r="W23" s="95"/>
      <c r="X23" s="5"/>
      <c r="Z23" s="56"/>
      <c r="AA23" s="56"/>
      <c r="AB23" s="56"/>
      <c r="AC23" s="57"/>
      <c r="AD23" s="57"/>
      <c r="AE23" s="6"/>
      <c r="AF23" s="6"/>
      <c r="AG23" s="6"/>
    </row>
    <row r="24" spans="1:33" s="78" customFormat="1">
      <c r="A24" s="27"/>
      <c r="C24" s="27" t="s">
        <v>313</v>
      </c>
      <c r="D24" s="27">
        <v>9</v>
      </c>
      <c r="E24" s="97">
        <f>D8/D24</f>
        <v>2777.7777777777778</v>
      </c>
      <c r="F24" s="29"/>
      <c r="G24" s="29"/>
      <c r="H24" s="29"/>
      <c r="I24" s="29"/>
      <c r="J24" s="79"/>
      <c r="L24" s="56"/>
      <c r="M24" s="56"/>
      <c r="N24" s="20"/>
      <c r="O24" s="20"/>
      <c r="P24" s="20"/>
      <c r="Q24" s="21"/>
      <c r="R24" s="21"/>
      <c r="S24" s="21"/>
      <c r="T24" s="79"/>
      <c r="U24" s="57"/>
      <c r="V24" s="56"/>
      <c r="W24" s="95"/>
      <c r="X24" s="5"/>
      <c r="Z24" s="56"/>
      <c r="AA24" s="56"/>
      <c r="AB24" s="56"/>
      <c r="AC24" s="57"/>
      <c r="AD24" s="57"/>
      <c r="AE24" s="6"/>
      <c r="AF24" s="6"/>
      <c r="AG24" s="6"/>
    </row>
    <row r="25" spans="1:33">
      <c r="A25" s="27"/>
      <c r="B25" s="27"/>
      <c r="C25" s="27" t="s">
        <v>314</v>
      </c>
      <c r="D25" s="27">
        <v>11</v>
      </c>
      <c r="E25" s="97">
        <f>D9/D25</f>
        <v>2463.6363636363635</v>
      </c>
      <c r="F25" s="4"/>
      <c r="G25" s="4"/>
      <c r="H25" s="4"/>
      <c r="I25" s="4"/>
      <c r="J25" s="4"/>
      <c r="V25" s="5"/>
      <c r="W25" s="95"/>
      <c r="X25" s="5"/>
      <c r="Y25" s="56"/>
      <c r="Z25" s="56"/>
      <c r="AA25" s="56"/>
      <c r="AB25" s="56"/>
      <c r="AC25" s="57"/>
      <c r="AD25" s="57"/>
      <c r="AE25" s="6"/>
      <c r="AF25" s="6"/>
      <c r="AG25" s="6"/>
    </row>
    <row r="26" spans="1:33">
      <c r="B26" s="27"/>
      <c r="C26" s="27"/>
      <c r="D26" s="27"/>
      <c r="E26" s="27"/>
      <c r="H26" s="4"/>
      <c r="I26" s="4"/>
      <c r="J26" s="4"/>
      <c r="K26" s="114" t="s">
        <v>152</v>
      </c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5"/>
      <c r="W26" s="95"/>
      <c r="X26" s="5"/>
      <c r="Y26" s="56"/>
      <c r="Z26" s="56"/>
      <c r="AA26" s="56"/>
      <c r="AB26" s="56"/>
      <c r="AC26" s="57"/>
      <c r="AD26" s="57"/>
      <c r="AE26" s="6"/>
      <c r="AF26" s="6"/>
      <c r="AG26" s="6"/>
    </row>
    <row r="27" spans="1:33" ht="12.75" thickBot="1">
      <c r="D27" s="12"/>
      <c r="H27" s="4"/>
      <c r="I27" s="4"/>
      <c r="J27" s="4"/>
      <c r="K27" s="55" t="s">
        <v>138</v>
      </c>
      <c r="L27" s="55" t="s">
        <v>136</v>
      </c>
      <c r="M27" s="55" t="s">
        <v>137</v>
      </c>
      <c r="N27" s="22" t="s">
        <v>160</v>
      </c>
      <c r="O27" s="22" t="s">
        <v>81</v>
      </c>
      <c r="P27" s="22" t="s">
        <v>82</v>
      </c>
      <c r="Q27" s="22" t="s">
        <v>135</v>
      </c>
      <c r="R27" s="22"/>
      <c r="S27" s="22"/>
      <c r="T27" s="22" t="s">
        <v>55</v>
      </c>
      <c r="U27" s="22" t="s">
        <v>161</v>
      </c>
      <c r="V27" s="5"/>
      <c r="W27" s="95"/>
      <c r="X27" s="5"/>
      <c r="Y27" s="56"/>
      <c r="Z27" s="56"/>
      <c r="AA27" s="56"/>
      <c r="AB27" s="56"/>
      <c r="AC27" s="57"/>
      <c r="AD27" s="57"/>
      <c r="AE27" s="6"/>
      <c r="AF27" s="6"/>
      <c r="AG27" s="6"/>
    </row>
    <row r="28" spans="1:33">
      <c r="B28" s="41" t="s">
        <v>131</v>
      </c>
      <c r="C28" s="47" t="s">
        <v>121</v>
      </c>
      <c r="D28" s="28">
        <f>ROUNDDOWN(1060/47, 0)</f>
        <v>22</v>
      </c>
      <c r="E28" s="40">
        <f>(D10*1.1)/D28</f>
        <v>3585</v>
      </c>
      <c r="F28" s="4" t="s">
        <v>153</v>
      </c>
      <c r="G28" s="4">
        <f>E28+E29</f>
        <v>7966.666666666667</v>
      </c>
      <c r="H28" s="4"/>
      <c r="I28" s="4"/>
      <c r="J28" s="4"/>
      <c r="K28" s="26" t="s">
        <v>140</v>
      </c>
      <c r="L28" s="59">
        <v>6.805555555555555E-2</v>
      </c>
      <c r="M28" s="59">
        <v>6.805555555555555E-2</v>
      </c>
      <c r="N28" s="20">
        <f t="shared" ref="N28:N39" si="11">L28+M28</f>
        <v>0.1361111111111111</v>
      </c>
      <c r="O28" s="20">
        <v>0.16666666666666666</v>
      </c>
      <c r="P28" s="20">
        <f t="shared" ref="P28:P39" si="12">N28+O28</f>
        <v>0.30277777777777776</v>
      </c>
      <c r="Q28" s="21">
        <f t="shared" ref="Q28:Q39" si="13">(P28*24)*1000</f>
        <v>7266.6666666666661</v>
      </c>
      <c r="R28" s="21">
        <f>Q28*1.17</f>
        <v>8501.9999999999982</v>
      </c>
      <c r="S28" s="21">
        <f>(P28*24)*1333</f>
        <v>9686.4666666666653</v>
      </c>
      <c r="T28" s="4">
        <f>F17</f>
        <v>3253.3333333333335</v>
      </c>
      <c r="U28" s="21">
        <f>ROUNDUP((R28+T28), -2)</f>
        <v>11800</v>
      </c>
      <c r="V28" s="57"/>
      <c r="W28" s="95">
        <f>ROUNDUP((S28+T28), -2)</f>
        <v>13000</v>
      </c>
      <c r="X28" s="5"/>
      <c r="Y28" s="56"/>
      <c r="Z28" s="56"/>
      <c r="AA28" s="56"/>
      <c r="AB28" s="56"/>
      <c r="AC28" s="57"/>
      <c r="AD28" s="57"/>
      <c r="AE28" s="6"/>
      <c r="AF28" s="6"/>
      <c r="AG28" s="6"/>
    </row>
    <row r="29" spans="1:33">
      <c r="B29" s="42" t="s">
        <v>130</v>
      </c>
      <c r="C29" s="62" t="s">
        <v>122</v>
      </c>
      <c r="D29" s="63">
        <f>ROUNDDOWN(1060/57, 0)</f>
        <v>18</v>
      </c>
      <c r="E29" s="64">
        <f>(D10*1.1)/D29</f>
        <v>4381.666666666667</v>
      </c>
      <c r="F29" s="4" t="s">
        <v>176</v>
      </c>
      <c r="G29" s="4">
        <f>E30+E31</f>
        <v>8582.9117647058811</v>
      </c>
      <c r="H29" s="4"/>
      <c r="I29" s="4"/>
      <c r="J29" s="4"/>
      <c r="K29" s="26" t="s">
        <v>139</v>
      </c>
      <c r="L29" s="25">
        <v>7.4999999999999997E-2</v>
      </c>
      <c r="M29" s="25">
        <v>7.4999999999999997E-2</v>
      </c>
      <c r="N29" s="20">
        <f t="shared" si="11"/>
        <v>0.15</v>
      </c>
      <c r="O29" s="20">
        <v>0.16666666666666666</v>
      </c>
      <c r="P29" s="20">
        <f t="shared" si="12"/>
        <v>0.31666666666666665</v>
      </c>
      <c r="Q29" s="21">
        <f t="shared" si="13"/>
        <v>7600</v>
      </c>
      <c r="R29" s="21">
        <f t="shared" ref="R29:R39" si="14">Q29*1.17</f>
        <v>8892</v>
      </c>
      <c r="S29" s="21">
        <f t="shared" ref="S29:S39" si="15">(P29*24)*1333</f>
        <v>10130.799999999999</v>
      </c>
      <c r="T29" s="4">
        <f>G17</f>
        <v>3333.3333333333335</v>
      </c>
      <c r="U29" s="21">
        <f t="shared" ref="U29:U39" si="16">ROUNDUP((R29+T29), -2)</f>
        <v>12300</v>
      </c>
      <c r="V29" s="5"/>
      <c r="W29" s="95">
        <f t="shared" ref="W29:W39" si="17">ROUNDUP((S29+T29), -2)</f>
        <v>13500</v>
      </c>
      <c r="X29" s="5"/>
      <c r="Y29" s="56"/>
      <c r="Z29" s="56"/>
      <c r="AA29" s="56"/>
      <c r="AB29" s="56"/>
      <c r="AC29" s="57"/>
      <c r="AD29" s="57"/>
      <c r="AE29" s="6"/>
      <c r="AF29" s="6"/>
      <c r="AG29" s="6"/>
    </row>
    <row r="30" spans="1:33">
      <c r="B30" s="42"/>
      <c r="C30" s="48" t="s">
        <v>174</v>
      </c>
      <c r="D30" s="28">
        <f>ROUNDDOWN(1060/52, 0)</f>
        <v>20</v>
      </c>
      <c r="E30" s="37">
        <f>(D10*1.1)/D30</f>
        <v>3943.5</v>
      </c>
      <c r="F30" s="4" t="s">
        <v>154</v>
      </c>
      <c r="G30" s="4">
        <f>E32+E33</f>
        <v>9311.0416666666679</v>
      </c>
      <c r="H30" s="4"/>
      <c r="I30" s="4"/>
      <c r="J30" s="4"/>
      <c r="K30" s="26" t="s">
        <v>141</v>
      </c>
      <c r="L30" s="20">
        <v>0.19583333333333333</v>
      </c>
      <c r="M30" s="20">
        <v>6.3888888888888884E-2</v>
      </c>
      <c r="N30" s="20">
        <f t="shared" si="11"/>
        <v>0.25972222222222219</v>
      </c>
      <c r="O30" s="20">
        <v>0.16666666666666666</v>
      </c>
      <c r="P30" s="20">
        <f t="shared" si="12"/>
        <v>0.42638888888888882</v>
      </c>
      <c r="Q30" s="21">
        <f t="shared" si="13"/>
        <v>10233.33333333333</v>
      </c>
      <c r="R30" s="21">
        <f t="shared" si="14"/>
        <v>11972.999999999996</v>
      </c>
      <c r="S30" s="21">
        <f t="shared" si="15"/>
        <v>13641.033333333329</v>
      </c>
      <c r="T30" s="4">
        <f>H17</f>
        <v>3613.3333333333335</v>
      </c>
      <c r="U30" s="21">
        <f t="shared" si="16"/>
        <v>15600</v>
      </c>
      <c r="V30" s="5"/>
      <c r="W30" s="95">
        <f t="shared" si="17"/>
        <v>17300</v>
      </c>
      <c r="X30" s="5"/>
      <c r="Y30" s="56"/>
      <c r="Z30" s="56"/>
      <c r="AA30" s="56"/>
      <c r="AB30" s="56"/>
      <c r="AC30" s="57"/>
      <c r="AD30" s="57"/>
      <c r="AE30" s="6"/>
      <c r="AF30" s="6"/>
      <c r="AG30" s="6"/>
    </row>
    <row r="31" spans="1:33">
      <c r="B31" s="42"/>
      <c r="C31" s="62" t="s">
        <v>175</v>
      </c>
      <c r="D31" s="63">
        <f>ROUNDDOWN(1060/62, 0)</f>
        <v>17</v>
      </c>
      <c r="E31" s="64">
        <f>(D10*1.1)/D31</f>
        <v>4639.411764705882</v>
      </c>
      <c r="F31" s="4"/>
      <c r="G31" s="4"/>
      <c r="H31" s="4"/>
      <c r="I31" s="4"/>
      <c r="J31" s="4"/>
      <c r="K31" s="2" t="s">
        <v>142</v>
      </c>
      <c r="L31" s="59">
        <v>6.805555555555555E-2</v>
      </c>
      <c r="M31" s="59">
        <v>6.805555555555555E-2</v>
      </c>
      <c r="N31" s="20">
        <f t="shared" si="11"/>
        <v>0.1361111111111111</v>
      </c>
      <c r="O31" s="20">
        <v>0.16666666666666666</v>
      </c>
      <c r="P31" s="20">
        <f t="shared" si="12"/>
        <v>0.30277777777777776</v>
      </c>
      <c r="Q31" s="21">
        <f t="shared" si="13"/>
        <v>7266.6666666666661</v>
      </c>
      <c r="R31" s="21">
        <f t="shared" si="14"/>
        <v>8501.9999999999982</v>
      </c>
      <c r="S31" s="21">
        <f t="shared" si="15"/>
        <v>9686.4666666666653</v>
      </c>
      <c r="T31" s="4">
        <f>F20</f>
        <v>3753.8461538461538</v>
      </c>
      <c r="U31" s="60">
        <f t="shared" si="16"/>
        <v>12300</v>
      </c>
      <c r="V31" s="5"/>
      <c r="W31" s="95">
        <f t="shared" si="17"/>
        <v>13500</v>
      </c>
      <c r="X31" s="5"/>
      <c r="Y31" s="56"/>
      <c r="Z31" s="56"/>
      <c r="AA31" s="56"/>
      <c r="AB31" s="56"/>
      <c r="AC31" s="57"/>
      <c r="AD31" s="57"/>
      <c r="AE31" s="6"/>
      <c r="AF31" s="6"/>
      <c r="AG31" s="6"/>
    </row>
    <row r="32" spans="1:33">
      <c r="B32" s="42"/>
      <c r="C32" s="48" t="s">
        <v>123</v>
      </c>
      <c r="D32" s="28">
        <f>ROUNDDOWN(1060/56, 0)</f>
        <v>18</v>
      </c>
      <c r="E32" s="37">
        <f>(D10*1.1)/D32</f>
        <v>4381.666666666667</v>
      </c>
      <c r="F32" s="4"/>
      <c r="G32" s="4"/>
      <c r="H32" s="4"/>
      <c r="I32" s="4"/>
      <c r="J32" s="4"/>
      <c r="K32" s="2" t="s">
        <v>143</v>
      </c>
      <c r="L32" s="25">
        <v>7.4999999999999997E-2</v>
      </c>
      <c r="M32" s="25">
        <v>7.4999999999999997E-2</v>
      </c>
      <c r="N32" s="20">
        <f t="shared" si="11"/>
        <v>0.15</v>
      </c>
      <c r="O32" s="20">
        <v>0.16666666666666666</v>
      </c>
      <c r="P32" s="20">
        <f t="shared" si="12"/>
        <v>0.31666666666666665</v>
      </c>
      <c r="Q32" s="21">
        <f t="shared" si="13"/>
        <v>7600</v>
      </c>
      <c r="R32" s="21">
        <f t="shared" si="14"/>
        <v>8892</v>
      </c>
      <c r="S32" s="21">
        <f t="shared" si="15"/>
        <v>10130.799999999999</v>
      </c>
      <c r="T32" s="4">
        <f>G20</f>
        <v>3846.1538461538462</v>
      </c>
      <c r="U32" s="21">
        <f t="shared" si="16"/>
        <v>12800</v>
      </c>
      <c r="V32" s="5"/>
      <c r="W32" s="95">
        <f t="shared" si="17"/>
        <v>14000</v>
      </c>
      <c r="X32" s="5"/>
      <c r="Y32" s="56"/>
      <c r="Z32" s="56"/>
      <c r="AA32" s="56"/>
      <c r="AB32" s="56"/>
      <c r="AC32" s="57"/>
      <c r="AD32" s="57"/>
      <c r="AE32" s="6"/>
      <c r="AF32" s="6"/>
      <c r="AG32" s="6"/>
    </row>
    <row r="33" spans="2:33" ht="12.75" thickBot="1">
      <c r="B33" s="43"/>
      <c r="C33" s="49" t="s">
        <v>124</v>
      </c>
      <c r="D33" s="32">
        <f>ROUNDDOWN(1060/66, 0)</f>
        <v>16</v>
      </c>
      <c r="E33" s="38">
        <f>(D10*1.1)/D33</f>
        <v>4929.375</v>
      </c>
      <c r="F33" s="4"/>
      <c r="G33" s="4"/>
      <c r="H33" s="4"/>
      <c r="I33" s="4"/>
      <c r="J33" s="4"/>
      <c r="K33" s="2" t="s">
        <v>144</v>
      </c>
      <c r="L33" s="20">
        <v>0.19583333333333333</v>
      </c>
      <c r="M33" s="20">
        <v>6.3888888888888884E-2</v>
      </c>
      <c r="N33" s="20">
        <f t="shared" si="11"/>
        <v>0.25972222222222219</v>
      </c>
      <c r="O33" s="20">
        <v>0.16666666666666666</v>
      </c>
      <c r="P33" s="20">
        <f t="shared" si="12"/>
        <v>0.42638888888888882</v>
      </c>
      <c r="Q33" s="21">
        <f t="shared" si="13"/>
        <v>10233.33333333333</v>
      </c>
      <c r="R33" s="21">
        <f t="shared" si="14"/>
        <v>11972.999999999996</v>
      </c>
      <c r="S33" s="21">
        <f t="shared" si="15"/>
        <v>13641.033333333329</v>
      </c>
      <c r="T33" s="4">
        <f>H20</f>
        <v>4169.2307692307695</v>
      </c>
      <c r="U33" s="21">
        <f t="shared" si="16"/>
        <v>16200</v>
      </c>
      <c r="V33" s="5"/>
      <c r="W33" s="95">
        <f t="shared" si="17"/>
        <v>17900</v>
      </c>
      <c r="X33" s="5"/>
      <c r="Y33" s="56"/>
      <c r="Z33" s="56"/>
      <c r="AA33" s="56"/>
      <c r="AB33" s="56"/>
      <c r="AC33" s="57"/>
      <c r="AD33" s="57"/>
      <c r="AE33" s="6"/>
      <c r="AF33" s="6"/>
      <c r="AG33" s="6"/>
    </row>
    <row r="34" spans="2:33">
      <c r="B34" s="78" t="s">
        <v>203</v>
      </c>
      <c r="C34" s="78" t="s">
        <v>201</v>
      </c>
      <c r="D34" s="2">
        <f>ROUNDDOWN(6000/89, 0)</f>
        <v>67</v>
      </c>
      <c r="E34" s="4">
        <f>(D7*6)/D34</f>
        <v>2185.0746268656717</v>
      </c>
      <c r="F34" s="4"/>
      <c r="G34" s="4"/>
      <c r="H34" s="4"/>
      <c r="I34" s="4"/>
      <c r="J34" s="4"/>
      <c r="K34" s="2" t="s">
        <v>145</v>
      </c>
      <c r="L34" s="59">
        <v>6.805555555555555E-2</v>
      </c>
      <c r="M34" s="59">
        <v>6.805555555555555E-2</v>
      </c>
      <c r="N34" s="20">
        <f t="shared" si="11"/>
        <v>0.1361111111111111</v>
      </c>
      <c r="O34" s="20">
        <v>0.16666666666666666</v>
      </c>
      <c r="P34" s="20">
        <f t="shared" si="12"/>
        <v>0.30277777777777776</v>
      </c>
      <c r="Q34" s="21">
        <f t="shared" si="13"/>
        <v>7266.6666666666661</v>
      </c>
      <c r="R34" s="21">
        <f t="shared" si="14"/>
        <v>8501.9999999999982</v>
      </c>
      <c r="S34" s="21">
        <f t="shared" si="15"/>
        <v>9686.4666666666653</v>
      </c>
      <c r="T34" s="4">
        <f>F21</f>
        <v>4066.6666666666665</v>
      </c>
      <c r="U34" s="21">
        <f t="shared" si="16"/>
        <v>12600</v>
      </c>
      <c r="V34" s="5"/>
      <c r="W34" s="95">
        <f t="shared" si="17"/>
        <v>13800</v>
      </c>
      <c r="X34" s="5"/>
      <c r="Y34" s="56"/>
      <c r="Z34" s="56"/>
      <c r="AA34" s="56"/>
      <c r="AB34" s="56"/>
      <c r="AC34" s="57"/>
      <c r="AD34" s="57"/>
      <c r="AE34" s="6"/>
      <c r="AF34" s="6"/>
      <c r="AG34" s="6"/>
    </row>
    <row r="35" spans="2:33">
      <c r="B35" s="78" t="s">
        <v>240</v>
      </c>
      <c r="C35" s="20" t="s">
        <v>241</v>
      </c>
      <c r="D35" s="78">
        <f>ROUNDDOWN(6000/13, 0)</f>
        <v>461</v>
      </c>
      <c r="E35" s="79">
        <f>(D11*6)/D35</f>
        <v>3358.125813449024</v>
      </c>
      <c r="F35" s="4"/>
      <c r="G35" s="4"/>
      <c r="H35" s="4"/>
      <c r="I35" s="4"/>
      <c r="J35" s="4"/>
      <c r="K35" s="2" t="s">
        <v>146</v>
      </c>
      <c r="L35" s="25">
        <v>7.4999999999999997E-2</v>
      </c>
      <c r="M35" s="25">
        <v>7.4999999999999997E-2</v>
      </c>
      <c r="N35" s="20">
        <f t="shared" si="11"/>
        <v>0.15</v>
      </c>
      <c r="O35" s="20">
        <v>0.16666666666666666</v>
      </c>
      <c r="P35" s="20">
        <f t="shared" si="12"/>
        <v>0.31666666666666665</v>
      </c>
      <c r="Q35" s="21">
        <f t="shared" si="13"/>
        <v>7600</v>
      </c>
      <c r="R35" s="21">
        <f t="shared" si="14"/>
        <v>8892</v>
      </c>
      <c r="S35" s="21">
        <f t="shared" si="15"/>
        <v>10130.799999999999</v>
      </c>
      <c r="T35" s="4">
        <f>G21</f>
        <v>4166.666666666667</v>
      </c>
      <c r="U35" s="21">
        <f t="shared" si="16"/>
        <v>13100</v>
      </c>
      <c r="V35" s="5"/>
      <c r="W35" s="95">
        <f t="shared" si="17"/>
        <v>14300</v>
      </c>
      <c r="X35" s="5"/>
      <c r="Y35" s="56"/>
      <c r="Z35" s="56"/>
      <c r="AA35" s="56"/>
      <c r="AB35" s="56"/>
      <c r="AC35" s="57"/>
      <c r="AD35" s="57"/>
      <c r="AE35" s="6"/>
      <c r="AF35" s="6"/>
      <c r="AG35" s="6"/>
    </row>
    <row r="36" spans="2:33">
      <c r="F36" s="78" t="s">
        <v>199</v>
      </c>
      <c r="G36" s="79">
        <v>83300</v>
      </c>
      <c r="K36" s="2" t="s">
        <v>147</v>
      </c>
      <c r="L36" s="20">
        <v>0.19583333333333333</v>
      </c>
      <c r="M36" s="20">
        <v>6.3888888888888884E-2</v>
      </c>
      <c r="N36" s="20">
        <f t="shared" si="11"/>
        <v>0.25972222222222219</v>
      </c>
      <c r="O36" s="20">
        <v>0.16666666666666666</v>
      </c>
      <c r="P36" s="20">
        <f t="shared" si="12"/>
        <v>0.42638888888888882</v>
      </c>
      <c r="Q36" s="21">
        <f t="shared" si="13"/>
        <v>10233.33333333333</v>
      </c>
      <c r="R36" s="21">
        <f t="shared" si="14"/>
        <v>11972.999999999996</v>
      </c>
      <c r="S36" s="21">
        <f t="shared" si="15"/>
        <v>13641.033333333329</v>
      </c>
      <c r="T36" s="4">
        <f>H21</f>
        <v>4516.666666666667</v>
      </c>
      <c r="U36" s="21">
        <f t="shared" si="16"/>
        <v>16500</v>
      </c>
      <c r="V36" s="5"/>
      <c r="W36" s="95">
        <f t="shared" si="17"/>
        <v>18200</v>
      </c>
      <c r="X36" s="5"/>
      <c r="Y36" s="5"/>
      <c r="Z36" s="56"/>
      <c r="AA36" s="56"/>
      <c r="AB36" s="56"/>
      <c r="AC36" s="57"/>
      <c r="AD36" s="57"/>
      <c r="AE36" s="6"/>
      <c r="AF36" s="6"/>
      <c r="AG36" s="5"/>
    </row>
    <row r="37" spans="2:33">
      <c r="F37" s="2" t="s">
        <v>187</v>
      </c>
      <c r="G37" s="4">
        <v>83500</v>
      </c>
      <c r="K37" s="2" t="s">
        <v>148</v>
      </c>
      <c r="L37" s="59">
        <v>6.805555555555555E-2</v>
      </c>
      <c r="M37" s="59">
        <v>6.805555555555555E-2</v>
      </c>
      <c r="N37" s="20">
        <f t="shared" si="11"/>
        <v>0.1361111111111111</v>
      </c>
      <c r="O37" s="20">
        <v>0.16666666666666666</v>
      </c>
      <c r="P37" s="20">
        <f t="shared" si="12"/>
        <v>0.30277777777777776</v>
      </c>
      <c r="Q37" s="21">
        <f t="shared" si="13"/>
        <v>7266.6666666666661</v>
      </c>
      <c r="R37" s="21">
        <f t="shared" si="14"/>
        <v>8501.9999999999982</v>
      </c>
      <c r="S37" s="21">
        <f t="shared" si="15"/>
        <v>9686.4666666666653</v>
      </c>
      <c r="T37" s="4">
        <f>F22</f>
        <v>4305.8823529411766</v>
      </c>
      <c r="U37" s="21">
        <f t="shared" si="16"/>
        <v>12900</v>
      </c>
      <c r="V37" s="94"/>
      <c r="W37" s="95">
        <f t="shared" si="17"/>
        <v>14000</v>
      </c>
      <c r="X37" s="94"/>
      <c r="Y37" s="94"/>
      <c r="Z37" s="56"/>
      <c r="AA37" s="56"/>
      <c r="AB37" s="56"/>
      <c r="AC37" s="57"/>
      <c r="AD37" s="57"/>
      <c r="AE37" s="6"/>
      <c r="AF37" s="6"/>
      <c r="AG37" s="5"/>
    </row>
    <row r="38" spans="2:33">
      <c r="F38" s="2" t="s">
        <v>188</v>
      </c>
      <c r="G38" s="4">
        <v>93800</v>
      </c>
      <c r="K38" s="2" t="s">
        <v>149</v>
      </c>
      <c r="L38" s="25">
        <v>7.4999999999999997E-2</v>
      </c>
      <c r="M38" s="25">
        <v>7.4999999999999997E-2</v>
      </c>
      <c r="N38" s="20">
        <f t="shared" si="11"/>
        <v>0.15</v>
      </c>
      <c r="O38" s="20">
        <v>0.16666666666666666</v>
      </c>
      <c r="P38" s="20">
        <f t="shared" si="12"/>
        <v>0.31666666666666665</v>
      </c>
      <c r="Q38" s="21">
        <f t="shared" si="13"/>
        <v>7600</v>
      </c>
      <c r="R38" s="21">
        <f t="shared" si="14"/>
        <v>8892</v>
      </c>
      <c r="S38" s="21">
        <f t="shared" si="15"/>
        <v>10130.799999999999</v>
      </c>
      <c r="T38" s="4">
        <f>G22</f>
        <v>4411.7647058823532</v>
      </c>
      <c r="U38" s="21">
        <f t="shared" si="16"/>
        <v>13400</v>
      </c>
      <c r="V38" s="5"/>
      <c r="W38" s="95">
        <f t="shared" si="17"/>
        <v>14600</v>
      </c>
      <c r="X38" s="5"/>
      <c r="Y38" s="56"/>
      <c r="Z38" s="56"/>
      <c r="AA38" s="56"/>
      <c r="AB38" s="56"/>
      <c r="AC38" s="57"/>
      <c r="AD38" s="57"/>
      <c r="AE38" s="6"/>
      <c r="AF38" s="6"/>
      <c r="AG38" s="6"/>
    </row>
    <row r="39" spans="2:33">
      <c r="K39" s="4" t="s">
        <v>150</v>
      </c>
      <c r="L39" s="20">
        <v>0.19583333333333333</v>
      </c>
      <c r="M39" s="20">
        <v>6.3888888888888884E-2</v>
      </c>
      <c r="N39" s="20">
        <f t="shared" si="11"/>
        <v>0.25972222222222219</v>
      </c>
      <c r="O39" s="20">
        <v>0.16666666666666666</v>
      </c>
      <c r="P39" s="20">
        <f t="shared" si="12"/>
        <v>0.42638888888888882</v>
      </c>
      <c r="Q39" s="21">
        <f t="shared" si="13"/>
        <v>10233.33333333333</v>
      </c>
      <c r="R39" s="21">
        <f t="shared" si="14"/>
        <v>11972.999999999996</v>
      </c>
      <c r="S39" s="21">
        <f t="shared" si="15"/>
        <v>13641.033333333329</v>
      </c>
      <c r="T39" s="4">
        <f>H22</f>
        <v>4782.3529411764703</v>
      </c>
      <c r="U39" s="21">
        <f t="shared" si="16"/>
        <v>16800</v>
      </c>
      <c r="V39" s="5"/>
      <c r="W39" s="95">
        <f t="shared" si="17"/>
        <v>18500</v>
      </c>
      <c r="X39" s="5"/>
      <c r="Y39" s="5"/>
      <c r="Z39" s="56"/>
      <c r="AA39" s="56"/>
      <c r="AB39" s="56"/>
      <c r="AC39" s="57"/>
      <c r="AD39" s="57"/>
      <c r="AE39" s="6"/>
      <c r="AF39" s="6"/>
      <c r="AG39" s="5"/>
    </row>
    <row r="40" spans="2:33">
      <c r="B40" s="78" t="s">
        <v>246</v>
      </c>
      <c r="C40" s="78" t="s">
        <v>248</v>
      </c>
      <c r="D40" s="2">
        <v>18</v>
      </c>
      <c r="E40" s="79">
        <f>D12/D40</f>
        <v>2666.6666666666665</v>
      </c>
      <c r="F40" s="2" t="s">
        <v>189</v>
      </c>
      <c r="G40" s="4">
        <v>99200</v>
      </c>
      <c r="H40" s="78" t="s">
        <v>328</v>
      </c>
      <c r="V40" s="115"/>
      <c r="W40" s="115"/>
      <c r="X40" s="115"/>
      <c r="Y40" s="115"/>
      <c r="Z40" s="56"/>
      <c r="AA40" s="56"/>
      <c r="AB40" s="56"/>
      <c r="AC40" s="57"/>
      <c r="AD40" s="57"/>
      <c r="AE40" s="6"/>
      <c r="AF40" s="6"/>
      <c r="AG40" s="5"/>
    </row>
    <row r="41" spans="2:33">
      <c r="C41" s="78" t="s">
        <v>247</v>
      </c>
      <c r="D41" s="2">
        <v>15</v>
      </c>
      <c r="E41" s="79">
        <f>D12/D41</f>
        <v>3200</v>
      </c>
      <c r="H41" s="78" t="s">
        <v>329</v>
      </c>
      <c r="V41" s="5"/>
      <c r="W41" s="56"/>
      <c r="X41" s="5"/>
      <c r="Y41" s="56"/>
      <c r="Z41" s="56"/>
      <c r="AA41" s="56"/>
      <c r="AB41" s="56"/>
      <c r="AC41" s="57"/>
      <c r="AD41" s="57"/>
      <c r="AE41" s="6"/>
      <c r="AF41" s="6"/>
      <c r="AG41" s="6"/>
    </row>
    <row r="42" spans="2:33">
      <c r="C42" s="78" t="s">
        <v>247</v>
      </c>
      <c r="D42" s="2">
        <v>15</v>
      </c>
      <c r="E42" s="79">
        <f>D7/D42</f>
        <v>1626.6666666666667</v>
      </c>
      <c r="K42" s="114" t="s">
        <v>159</v>
      </c>
      <c r="L42" s="114"/>
      <c r="M42" s="114"/>
      <c r="N42" s="114"/>
      <c r="O42" s="114"/>
      <c r="P42" s="114"/>
      <c r="Q42" s="114"/>
      <c r="R42" s="114"/>
      <c r="S42" s="114"/>
      <c r="T42" s="114"/>
      <c r="U42" s="114"/>
      <c r="V42" s="5"/>
      <c r="W42" s="5"/>
      <c r="X42" s="5"/>
      <c r="Y42" s="5"/>
      <c r="Z42" s="56"/>
      <c r="AA42" s="56"/>
      <c r="AB42" s="56"/>
      <c r="AC42" s="57"/>
      <c r="AD42" s="57"/>
      <c r="AE42" s="6"/>
      <c r="AF42" s="6"/>
      <c r="AG42" s="5"/>
    </row>
    <row r="43" spans="2:33">
      <c r="L43" s="2" t="s">
        <v>155</v>
      </c>
      <c r="M43" s="2" t="s">
        <v>156</v>
      </c>
      <c r="N43" s="22" t="s">
        <v>160</v>
      </c>
      <c r="O43" s="22" t="s">
        <v>81</v>
      </c>
      <c r="P43" s="22" t="s">
        <v>82</v>
      </c>
      <c r="Q43" s="22" t="s">
        <v>135</v>
      </c>
      <c r="R43" s="22"/>
      <c r="S43" s="22"/>
      <c r="T43" s="22" t="s">
        <v>55</v>
      </c>
      <c r="U43" s="22" t="s">
        <v>161</v>
      </c>
      <c r="V43" s="115"/>
      <c r="W43" s="115"/>
      <c r="X43" s="115"/>
      <c r="Y43" s="115"/>
      <c r="Z43" s="56"/>
      <c r="AA43" s="56"/>
      <c r="AB43" s="56"/>
      <c r="AC43" s="57"/>
      <c r="AD43" s="57"/>
      <c r="AE43" s="6"/>
      <c r="AF43" s="6"/>
      <c r="AG43" s="5"/>
    </row>
    <row r="44" spans="2:33">
      <c r="B44" s="78" t="s">
        <v>294</v>
      </c>
      <c r="D44" s="2">
        <v>112</v>
      </c>
      <c r="E44" s="79">
        <v>127100</v>
      </c>
      <c r="G44" s="79">
        <f>E44/D44</f>
        <v>1134.8214285714287</v>
      </c>
      <c r="K44" s="2" t="s">
        <v>158</v>
      </c>
      <c r="L44" s="20">
        <v>0.18472222222222223</v>
      </c>
      <c r="M44" s="20">
        <v>0.19236111111111112</v>
      </c>
      <c r="N44" s="20">
        <f>L44+M44</f>
        <v>0.37708333333333333</v>
      </c>
      <c r="O44" s="20">
        <v>0.16666666666666666</v>
      </c>
      <c r="P44" s="20">
        <f>N44+O44</f>
        <v>0.54374999999999996</v>
      </c>
      <c r="Q44" s="21">
        <f>(P44*24)*1000</f>
        <v>13049.999999999998</v>
      </c>
      <c r="R44" s="21">
        <f>Q44*1.17</f>
        <v>15268.499999999996</v>
      </c>
      <c r="S44" s="21">
        <f>(P44*24)*1333</f>
        <v>17395.649999999998</v>
      </c>
      <c r="T44" s="4">
        <f>G28</f>
        <v>7966.666666666667</v>
      </c>
      <c r="U44" s="21">
        <f>ROUNDUP((R44+T44), -2)</f>
        <v>23300</v>
      </c>
      <c r="V44" s="5"/>
      <c r="W44" s="57">
        <f>ROUNDUP((S44+T44), -2)</f>
        <v>25400</v>
      </c>
      <c r="X44" s="5"/>
      <c r="Y44" s="56"/>
      <c r="Z44" s="56"/>
      <c r="AA44" s="56"/>
      <c r="AB44" s="56"/>
      <c r="AC44" s="57"/>
      <c r="AD44" s="57"/>
      <c r="AE44" s="6"/>
      <c r="AF44" s="6"/>
      <c r="AG44" s="6"/>
    </row>
    <row r="45" spans="2:33">
      <c r="B45" s="78" t="s">
        <v>295</v>
      </c>
      <c r="K45" s="78" t="s">
        <v>173</v>
      </c>
      <c r="L45" s="20">
        <v>0.23611111111111113</v>
      </c>
      <c r="M45" s="20">
        <v>0.26041666666666669</v>
      </c>
      <c r="N45" s="20">
        <f>L45+M45</f>
        <v>0.49652777777777779</v>
      </c>
      <c r="O45" s="20">
        <v>0.16666666666666666</v>
      </c>
      <c r="P45" s="20">
        <f>N45+O45</f>
        <v>0.66319444444444442</v>
      </c>
      <c r="Q45" s="21">
        <f>(P45*24)*1000</f>
        <v>15916.666666666666</v>
      </c>
      <c r="R45" s="21">
        <f t="shared" ref="R45:R55" si="18">Q45*1.17</f>
        <v>18622.499999999996</v>
      </c>
      <c r="S45" s="21">
        <f t="shared" ref="S45:S55" si="19">(P45*24)*1333</f>
        <v>21216.916666666664</v>
      </c>
      <c r="T45" s="4">
        <f>G29</f>
        <v>8582.9117647058811</v>
      </c>
      <c r="U45" s="21">
        <f t="shared" ref="U45:U55" si="20">ROUNDUP((R45+T45), -2)</f>
        <v>27300</v>
      </c>
      <c r="V45" s="5"/>
      <c r="W45" s="57">
        <f>ROUNDUP((S45+T45), -2)</f>
        <v>29800</v>
      </c>
      <c r="X45" s="5"/>
      <c r="Y45" s="5"/>
      <c r="Z45" s="56"/>
      <c r="AA45" s="56"/>
      <c r="AB45" s="56"/>
      <c r="AC45" s="57"/>
      <c r="AD45" s="57"/>
      <c r="AE45" s="6"/>
      <c r="AF45" s="6"/>
      <c r="AG45" s="5"/>
    </row>
    <row r="46" spans="2:33">
      <c r="B46" s="78" t="s">
        <v>302</v>
      </c>
      <c r="D46" s="2">
        <v>30</v>
      </c>
      <c r="E46" s="79">
        <v>52200</v>
      </c>
      <c r="G46" s="79">
        <f>E46/D46</f>
        <v>1740</v>
      </c>
      <c r="K46" s="2" t="s">
        <v>157</v>
      </c>
      <c r="L46" s="20">
        <v>0.23611111111111113</v>
      </c>
      <c r="M46" s="20">
        <v>0.26041666666666669</v>
      </c>
      <c r="N46" s="20">
        <f>L46+M46</f>
        <v>0.49652777777777779</v>
      </c>
      <c r="O46" s="20">
        <v>0.16666666666666666</v>
      </c>
      <c r="P46" s="20">
        <f>N46+O46</f>
        <v>0.66319444444444442</v>
      </c>
      <c r="Q46" s="21">
        <f>(P46*24)*1000</f>
        <v>15916.666666666666</v>
      </c>
      <c r="R46" s="21">
        <f t="shared" si="18"/>
        <v>18622.499999999996</v>
      </c>
      <c r="S46" s="21">
        <f t="shared" si="19"/>
        <v>21216.916666666664</v>
      </c>
      <c r="T46" s="4">
        <f>G30</f>
        <v>9311.0416666666679</v>
      </c>
      <c r="U46" s="21">
        <f t="shared" si="20"/>
        <v>28000</v>
      </c>
      <c r="V46" s="98"/>
      <c r="W46" s="57">
        <f>ROUNDUP((S46+T46), -2)</f>
        <v>30600</v>
      </c>
      <c r="X46" s="98"/>
      <c r="Y46" s="98"/>
      <c r="Z46" s="5"/>
      <c r="AA46" s="5"/>
      <c r="AB46" s="5"/>
      <c r="AC46" s="5"/>
      <c r="AD46" s="5"/>
      <c r="AE46" s="5"/>
      <c r="AF46" s="5"/>
      <c r="AG46" s="5"/>
    </row>
    <row r="47" spans="2:33">
      <c r="E47" s="79"/>
      <c r="R47" s="21"/>
      <c r="S47" s="21"/>
      <c r="U47" s="21"/>
      <c r="V47" s="5"/>
      <c r="W47" s="57">
        <f t="shared" ref="W47:W55" si="21">ROUNDUP((S47+T47), -2)</f>
        <v>0</v>
      </c>
      <c r="X47" s="5"/>
      <c r="Y47" s="56"/>
      <c r="Z47" s="56"/>
      <c r="AA47" s="56"/>
      <c r="AB47" s="56"/>
      <c r="AC47" s="57"/>
      <c r="AD47" s="57"/>
      <c r="AE47" s="6"/>
      <c r="AF47" s="6"/>
      <c r="AG47" s="5"/>
    </row>
    <row r="48" spans="2:33">
      <c r="E48" s="79"/>
      <c r="K48" s="78" t="s">
        <v>200</v>
      </c>
      <c r="L48" s="20">
        <v>0.15277777777777776</v>
      </c>
      <c r="M48" s="20">
        <v>0.15277777777777776</v>
      </c>
      <c r="N48" s="20">
        <f>L48+M48</f>
        <v>0.30555555555555552</v>
      </c>
      <c r="O48" s="20">
        <v>0.16666666666666666</v>
      </c>
      <c r="P48" s="20">
        <f>N48+O48</f>
        <v>0.47222222222222221</v>
      </c>
      <c r="Q48" s="21">
        <f>(P48*24)*1000</f>
        <v>11333.333333333332</v>
      </c>
      <c r="R48" s="21">
        <f t="shared" si="18"/>
        <v>13259.999999999998</v>
      </c>
      <c r="S48" s="21">
        <f t="shared" si="19"/>
        <v>15107.333333333332</v>
      </c>
      <c r="T48" s="4">
        <f>E34</f>
        <v>2185.0746268656717</v>
      </c>
      <c r="U48" s="21">
        <f t="shared" si="20"/>
        <v>15500</v>
      </c>
      <c r="V48" s="5"/>
      <c r="W48" s="57">
        <f t="shared" si="21"/>
        <v>17300</v>
      </c>
      <c r="X48" s="5"/>
      <c r="Y48" s="5"/>
      <c r="Z48" s="5"/>
      <c r="AA48" s="5"/>
      <c r="AB48" s="5"/>
      <c r="AC48" s="5"/>
      <c r="AD48" s="5"/>
      <c r="AE48" s="5"/>
      <c r="AF48" s="5"/>
      <c r="AG48" s="5"/>
    </row>
    <row r="49" spans="1:33">
      <c r="A49" s="5"/>
      <c r="B49" s="5"/>
      <c r="C49" s="5"/>
      <c r="D49" s="5"/>
      <c r="E49" s="5"/>
      <c r="Q49" s="21"/>
      <c r="R49" s="21"/>
      <c r="S49" s="21"/>
      <c r="U49" s="21"/>
      <c r="V49" s="98"/>
      <c r="W49" s="57">
        <f t="shared" si="21"/>
        <v>0</v>
      </c>
      <c r="X49" s="98"/>
      <c r="Y49" s="98"/>
      <c r="Z49" s="56"/>
      <c r="AA49" s="56"/>
      <c r="AB49" s="56"/>
      <c r="AC49" s="57"/>
      <c r="AD49" s="57"/>
      <c r="AE49" s="6"/>
      <c r="AF49" s="6"/>
      <c r="AG49" s="5"/>
    </row>
    <row r="50" spans="1:33">
      <c r="A50" s="5"/>
      <c r="B50" s="5"/>
      <c r="C50" s="5"/>
      <c r="D50" s="5"/>
      <c r="E50" s="5"/>
      <c r="K50" s="78" t="s">
        <v>238</v>
      </c>
      <c r="L50" s="20">
        <v>9.7222222222222224E-2</v>
      </c>
      <c r="M50" s="20">
        <v>4.1666666666666664E-2</v>
      </c>
      <c r="N50" s="20">
        <f>L50+M50</f>
        <v>0.1388888888888889</v>
      </c>
      <c r="O50" s="20">
        <v>8.3333333333333329E-2</v>
      </c>
      <c r="P50" s="20">
        <f>N50+O50</f>
        <v>0.22222222222222221</v>
      </c>
      <c r="Q50" s="21">
        <f t="shared" ref="Q50:Q55" si="22">(P50*24)*1000</f>
        <v>5333.333333333333</v>
      </c>
      <c r="R50" s="21">
        <f t="shared" si="18"/>
        <v>6239.9999999999991</v>
      </c>
      <c r="S50" s="21">
        <f t="shared" si="19"/>
        <v>7109.333333333333</v>
      </c>
      <c r="T50" s="79">
        <v>3600</v>
      </c>
      <c r="U50" s="21">
        <f t="shared" si="20"/>
        <v>9900</v>
      </c>
      <c r="V50" s="5"/>
      <c r="W50" s="57">
        <f t="shared" si="21"/>
        <v>10800</v>
      </c>
      <c r="X50" s="5"/>
      <c r="Y50" s="56"/>
      <c r="Z50" s="56"/>
      <c r="AA50" s="56"/>
      <c r="AB50" s="56"/>
      <c r="AC50" s="57"/>
      <c r="AD50" s="57"/>
      <c r="AE50" s="6"/>
      <c r="AF50" s="6"/>
      <c r="AG50" s="5"/>
    </row>
    <row r="51" spans="1:33">
      <c r="A51" s="5"/>
      <c r="B51" s="5"/>
      <c r="C51" s="5"/>
      <c r="D51" s="5"/>
      <c r="E51" s="5"/>
      <c r="L51" s="78" t="s">
        <v>249</v>
      </c>
      <c r="M51" s="78" t="s">
        <v>250</v>
      </c>
      <c r="R51" s="21"/>
      <c r="S51" s="21"/>
      <c r="U51" s="21"/>
      <c r="V51" s="5"/>
      <c r="W51" s="57">
        <f t="shared" si="21"/>
        <v>0</v>
      </c>
      <c r="X51" s="5"/>
      <c r="Y51" s="5"/>
      <c r="Z51" s="5"/>
      <c r="AA51" s="5"/>
      <c r="AB51" s="5"/>
      <c r="AC51" s="57"/>
      <c r="AD51" s="57"/>
      <c r="AE51" s="6"/>
      <c r="AF51" s="6"/>
      <c r="AG51" s="5"/>
    </row>
    <row r="52" spans="1:33">
      <c r="A52" s="5"/>
      <c r="B52" s="6"/>
      <c r="C52" s="5"/>
      <c r="D52" s="5"/>
      <c r="E52" s="5"/>
      <c r="H52" s="78" t="s">
        <v>335</v>
      </c>
      <c r="J52" s="99" t="s">
        <v>326</v>
      </c>
      <c r="K52" s="78" t="s">
        <v>24</v>
      </c>
      <c r="L52" s="20">
        <v>8.3333333333333329E-2</v>
      </c>
      <c r="M52" s="20">
        <v>0.125</v>
      </c>
      <c r="N52" s="20">
        <f>L52+M52</f>
        <v>0.20833333333333331</v>
      </c>
      <c r="O52" s="20">
        <v>8.3333333333333329E-2</v>
      </c>
      <c r="P52" s="20">
        <f>N52+O52</f>
        <v>0.29166666666666663</v>
      </c>
      <c r="Q52" s="21">
        <f t="shared" si="22"/>
        <v>6999.9999999999991</v>
      </c>
      <c r="R52" s="21">
        <f t="shared" si="18"/>
        <v>8189.9999999999982</v>
      </c>
      <c r="S52" s="21">
        <f t="shared" si="19"/>
        <v>9330.9999999999982</v>
      </c>
      <c r="T52" s="79">
        <f>E40</f>
        <v>2666.6666666666665</v>
      </c>
      <c r="U52" s="21">
        <f t="shared" si="20"/>
        <v>10900</v>
      </c>
      <c r="V52" s="98"/>
      <c r="W52" s="57">
        <f t="shared" si="21"/>
        <v>12000</v>
      </c>
      <c r="X52" s="98"/>
      <c r="Y52" s="98"/>
      <c r="Z52" s="56"/>
      <c r="AA52" s="56"/>
      <c r="AB52" s="56"/>
      <c r="AC52" s="57"/>
      <c r="AD52" s="57"/>
      <c r="AE52" s="6"/>
      <c r="AF52" s="6"/>
      <c r="AG52" s="5"/>
    </row>
    <row r="53" spans="1:33">
      <c r="A53" s="5"/>
      <c r="B53" s="6"/>
      <c r="C53" s="5"/>
      <c r="D53" s="5"/>
      <c r="E53" s="6"/>
      <c r="H53" s="78" t="s">
        <v>336</v>
      </c>
      <c r="J53" s="99" t="s">
        <v>327</v>
      </c>
      <c r="K53" s="78" t="s">
        <v>26</v>
      </c>
      <c r="L53" s="20">
        <v>8.3333333333333329E-2</v>
      </c>
      <c r="M53" s="20">
        <v>0.16666666666666666</v>
      </c>
      <c r="N53" s="20">
        <f>L53+M53</f>
        <v>0.25</v>
      </c>
      <c r="O53" s="20">
        <v>8.3333333333333329E-2</v>
      </c>
      <c r="P53" s="20">
        <f>N53+O53</f>
        <v>0.33333333333333331</v>
      </c>
      <c r="Q53" s="21">
        <f t="shared" si="22"/>
        <v>8000</v>
      </c>
      <c r="R53" s="21">
        <f t="shared" si="18"/>
        <v>9360</v>
      </c>
      <c r="S53" s="21">
        <f t="shared" si="19"/>
        <v>10664</v>
      </c>
      <c r="T53" s="79">
        <f>E41</f>
        <v>3200</v>
      </c>
      <c r="U53" s="21">
        <f t="shared" si="20"/>
        <v>12600</v>
      </c>
      <c r="V53" s="5"/>
      <c r="W53" s="57">
        <f t="shared" si="21"/>
        <v>13900</v>
      </c>
      <c r="X53" s="5"/>
      <c r="Y53" s="56"/>
      <c r="Z53" s="56"/>
      <c r="AA53" s="56"/>
      <c r="AB53" s="56"/>
      <c r="AC53" s="57"/>
      <c r="AD53" s="57"/>
      <c r="AE53" s="6"/>
      <c r="AF53" s="6"/>
      <c r="AG53" s="5"/>
    </row>
    <row r="54" spans="1:33" s="78" customFormat="1">
      <c r="A54" s="5"/>
      <c r="B54" s="6"/>
      <c r="C54" s="5"/>
      <c r="D54" s="5"/>
      <c r="E54" s="6"/>
      <c r="J54" s="99"/>
      <c r="K54" s="78" t="s">
        <v>331</v>
      </c>
      <c r="L54" s="20"/>
      <c r="M54" s="20"/>
      <c r="N54" s="20"/>
      <c r="O54" s="20"/>
      <c r="P54" s="20">
        <v>0.375</v>
      </c>
      <c r="Q54" s="21"/>
      <c r="R54" s="21"/>
      <c r="S54" s="21">
        <f t="shared" si="19"/>
        <v>11997</v>
      </c>
      <c r="T54" s="79">
        <f>E41</f>
        <v>3200</v>
      </c>
      <c r="U54" s="21"/>
      <c r="V54" s="5"/>
      <c r="W54" s="57">
        <f t="shared" si="21"/>
        <v>15200</v>
      </c>
      <c r="X54" s="5"/>
      <c r="Y54" s="56"/>
      <c r="Z54" s="56"/>
      <c r="AA54" s="56"/>
      <c r="AB54" s="56"/>
      <c r="AC54" s="57"/>
      <c r="AD54" s="57"/>
      <c r="AE54" s="6"/>
      <c r="AF54" s="6"/>
      <c r="AG54" s="5"/>
    </row>
    <row r="55" spans="1:33">
      <c r="A55" s="5"/>
      <c r="B55" s="6"/>
      <c r="C55" s="5"/>
      <c r="D55" s="5"/>
      <c r="E55" s="5"/>
      <c r="K55" s="78" t="s">
        <v>253</v>
      </c>
      <c r="L55" s="20">
        <v>0.16666666666666666</v>
      </c>
      <c r="N55" s="20">
        <f>L55+M55</f>
        <v>0.16666666666666666</v>
      </c>
      <c r="O55" s="20">
        <v>8.3333333333333329E-2</v>
      </c>
      <c r="P55" s="20">
        <f>N55+O55</f>
        <v>0.25</v>
      </c>
      <c r="Q55" s="21">
        <f t="shared" si="22"/>
        <v>6000</v>
      </c>
      <c r="R55" s="21">
        <f t="shared" si="18"/>
        <v>7020</v>
      </c>
      <c r="S55" s="21">
        <f t="shared" si="19"/>
        <v>7998</v>
      </c>
      <c r="T55" s="79">
        <f>E42</f>
        <v>1626.6666666666667</v>
      </c>
      <c r="U55" s="21">
        <f t="shared" si="20"/>
        <v>8700</v>
      </c>
      <c r="V55" s="5"/>
      <c r="W55" s="57">
        <f t="shared" si="21"/>
        <v>9700</v>
      </c>
      <c r="X55" s="5"/>
      <c r="Y55" s="5"/>
      <c r="Z55" s="56"/>
      <c r="AA55" s="56"/>
      <c r="AB55" s="56"/>
      <c r="AC55" s="57"/>
      <c r="AD55" s="57"/>
      <c r="AE55" s="6"/>
      <c r="AF55" s="6"/>
      <c r="AG55" s="5"/>
    </row>
    <row r="56" spans="1:33" s="78" customFormat="1">
      <c r="A56" s="5"/>
      <c r="B56" s="6"/>
      <c r="C56" s="5"/>
      <c r="D56" s="5"/>
      <c r="E56" s="5"/>
      <c r="K56" s="78" t="s">
        <v>376</v>
      </c>
      <c r="L56" s="20">
        <v>6.25E-2</v>
      </c>
      <c r="M56" s="20">
        <v>8.3333333333333329E-2</v>
      </c>
      <c r="N56" s="20">
        <f>L56+M56</f>
        <v>0.14583333333333331</v>
      </c>
      <c r="O56" s="20">
        <v>8.3333333333333329E-2</v>
      </c>
      <c r="P56" s="20">
        <f>N56+O56</f>
        <v>0.22916666666666663</v>
      </c>
      <c r="Q56" s="21"/>
      <c r="R56" s="21"/>
      <c r="S56" s="21">
        <f>(P56*24)*1333</f>
        <v>7331.4999999999991</v>
      </c>
      <c r="T56" s="79">
        <v>1000</v>
      </c>
      <c r="U56" s="21">
        <f>S56+T56</f>
        <v>8331.5</v>
      </c>
      <c r="V56" s="5"/>
      <c r="W56" s="57">
        <f>ROUNDUP((S56+T56), -2)</f>
        <v>8400</v>
      </c>
      <c r="X56" s="5"/>
      <c r="Y56" s="5"/>
      <c r="Z56" s="56"/>
      <c r="AA56" s="56"/>
      <c r="AB56" s="56"/>
      <c r="AC56" s="57"/>
      <c r="AD56" s="57"/>
      <c r="AE56" s="6"/>
      <c r="AF56" s="6"/>
      <c r="AG56" s="5"/>
    </row>
    <row r="57" spans="1:33">
      <c r="A57" s="5"/>
      <c r="B57" s="6"/>
      <c r="C57" s="5"/>
      <c r="D57" s="5"/>
      <c r="E57" s="5" t="s">
        <v>36</v>
      </c>
      <c r="U57" s="5"/>
      <c r="V57" s="5"/>
      <c r="W57" s="5"/>
      <c r="X57" s="5"/>
      <c r="Y57" s="5"/>
      <c r="Z57" s="5"/>
      <c r="AA57" s="5"/>
      <c r="AB57" s="5"/>
      <c r="AC57" s="57"/>
      <c r="AD57" s="57"/>
      <c r="AE57" s="6"/>
      <c r="AF57" s="6"/>
      <c r="AG57" s="5"/>
    </row>
    <row r="58" spans="1:33">
      <c r="A58" s="5"/>
      <c r="B58" s="5"/>
      <c r="C58" s="5" t="s">
        <v>210</v>
      </c>
      <c r="D58" s="6">
        <v>75000</v>
      </c>
      <c r="E58" s="6">
        <v>88060</v>
      </c>
      <c r="K58" s="78" t="s">
        <v>275</v>
      </c>
      <c r="T58" s="79">
        <f>W58/Y58</f>
        <v>2340</v>
      </c>
      <c r="U58" s="6">
        <v>10800</v>
      </c>
      <c r="V58" s="5" t="s">
        <v>276</v>
      </c>
      <c r="W58" s="6">
        <v>93600</v>
      </c>
      <c r="X58" s="56" t="s">
        <v>277</v>
      </c>
      <c r="Y58" s="2">
        <v>40</v>
      </c>
      <c r="AA58" s="56"/>
      <c r="AB58" s="56"/>
      <c r="AC58" s="57"/>
      <c r="AD58" s="57"/>
      <c r="AE58" s="6"/>
      <c r="AF58" s="6"/>
      <c r="AG58" s="5"/>
    </row>
    <row r="59" spans="1:33">
      <c r="A59" s="5"/>
      <c r="B59" s="5"/>
      <c r="C59" s="5" t="s">
        <v>209</v>
      </c>
      <c r="D59" s="6">
        <v>82590</v>
      </c>
      <c r="E59" s="6"/>
      <c r="K59" s="78" t="s">
        <v>278</v>
      </c>
      <c r="T59" s="79">
        <f>W59/Y59</f>
        <v>2000</v>
      </c>
      <c r="U59" s="6">
        <v>9700</v>
      </c>
      <c r="V59" s="5" t="s">
        <v>279</v>
      </c>
      <c r="W59" s="6">
        <v>56000</v>
      </c>
      <c r="X59" s="5" t="s">
        <v>277</v>
      </c>
      <c r="Y59" s="78">
        <v>28</v>
      </c>
      <c r="Z59" s="5"/>
      <c r="AA59" s="5"/>
      <c r="AB59" s="5"/>
      <c r="AC59" s="57"/>
      <c r="AD59" s="57"/>
      <c r="AE59" s="6"/>
      <c r="AF59" s="6"/>
      <c r="AG59" s="5"/>
    </row>
    <row r="60" spans="1:33">
      <c r="A60" s="5"/>
      <c r="B60" s="5"/>
      <c r="C60" s="5"/>
      <c r="D60" s="5"/>
      <c r="E60" s="5"/>
      <c r="K60" s="78" t="s">
        <v>282</v>
      </c>
      <c r="T60" s="79">
        <f>W60/Y60</f>
        <v>1018.1818181818181</v>
      </c>
      <c r="U60" s="6">
        <v>6800</v>
      </c>
      <c r="V60" s="5"/>
      <c r="W60" s="6">
        <v>56000</v>
      </c>
      <c r="X60" s="5" t="s">
        <v>277</v>
      </c>
      <c r="Y60" s="5">
        <v>55</v>
      </c>
      <c r="Z60" s="5"/>
      <c r="AA60" s="5"/>
      <c r="AB60" s="5"/>
      <c r="AC60" s="57"/>
      <c r="AD60" s="57"/>
      <c r="AE60" s="6"/>
      <c r="AF60" s="6"/>
      <c r="AG60" s="5"/>
    </row>
    <row r="61" spans="1:33">
      <c r="A61" s="5"/>
      <c r="B61" s="5"/>
      <c r="C61" s="5" t="s">
        <v>211</v>
      </c>
      <c r="D61" s="6">
        <v>83500</v>
      </c>
      <c r="E61" s="5"/>
      <c r="K61" s="78" t="s">
        <v>283</v>
      </c>
      <c r="T61" s="79">
        <f>W61/Y61</f>
        <v>736.84210526315792</v>
      </c>
      <c r="U61" s="6">
        <v>6800</v>
      </c>
      <c r="V61" s="5"/>
      <c r="W61" s="6">
        <v>56000</v>
      </c>
      <c r="X61" s="5" t="s">
        <v>277</v>
      </c>
      <c r="Y61" s="5">
        <v>76</v>
      </c>
      <c r="Z61" s="56"/>
      <c r="AA61" s="56"/>
      <c r="AB61" s="56"/>
      <c r="AC61" s="57"/>
      <c r="AD61" s="57"/>
      <c r="AE61" s="6"/>
      <c r="AF61" s="6"/>
      <c r="AG61" s="5"/>
    </row>
    <row r="62" spans="1:33">
      <c r="A62" s="5"/>
      <c r="B62" s="6"/>
      <c r="C62" s="5"/>
      <c r="D62" s="5"/>
      <c r="E62" s="5"/>
      <c r="K62" s="78" t="s">
        <v>284</v>
      </c>
      <c r="T62" s="79">
        <f>W62/Y62</f>
        <v>517.14285714285711</v>
      </c>
      <c r="U62" s="79">
        <v>7800</v>
      </c>
      <c r="V62" s="5"/>
      <c r="W62" s="6">
        <v>18100</v>
      </c>
      <c r="X62" s="5" t="s">
        <v>277</v>
      </c>
      <c r="Y62" s="5">
        <v>35</v>
      </c>
      <c r="Z62" s="5"/>
      <c r="AA62" s="5"/>
      <c r="AB62" s="5"/>
      <c r="AC62" s="5"/>
      <c r="AD62" s="5"/>
      <c r="AE62" s="5"/>
      <c r="AF62" s="5"/>
      <c r="AG62" s="5"/>
    </row>
    <row r="63" spans="1:33">
      <c r="A63" s="5"/>
      <c r="B63" s="5"/>
      <c r="C63" s="5"/>
      <c r="D63" s="5"/>
      <c r="E63" s="5"/>
      <c r="K63" s="78" t="s">
        <v>296</v>
      </c>
      <c r="P63" s="20">
        <v>0.14583333333333334</v>
      </c>
      <c r="Q63" s="21">
        <f>(P63*24)*1334</f>
        <v>4669</v>
      </c>
      <c r="T63" s="79">
        <f>ROUNDUP(G44,-2)</f>
        <v>1200</v>
      </c>
      <c r="U63" s="21">
        <f>ROUNDUP((T63+Q63), -2)</f>
        <v>5900</v>
      </c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</row>
    <row r="64" spans="1:33">
      <c r="A64" s="5"/>
      <c r="B64" s="5"/>
      <c r="C64" s="5"/>
      <c r="D64" s="5"/>
      <c r="E64" s="5"/>
      <c r="K64" s="78" t="s">
        <v>303</v>
      </c>
      <c r="P64" s="20">
        <v>0.20833333333333334</v>
      </c>
      <c r="Q64" s="21">
        <f>(P64*24)*1334</f>
        <v>6670</v>
      </c>
      <c r="T64" s="79">
        <f>ROUNDUP(G46,-2)</f>
        <v>1800</v>
      </c>
      <c r="U64" s="79">
        <f>ROUNDUP((T64+Q64), -2)</f>
        <v>8500</v>
      </c>
      <c r="V64" s="5"/>
      <c r="W64" s="56"/>
      <c r="X64" s="5"/>
      <c r="Y64" s="5"/>
      <c r="Z64" s="56"/>
      <c r="AA64" s="5"/>
      <c r="AB64" s="5"/>
      <c r="AC64" s="5"/>
      <c r="AD64" s="5"/>
      <c r="AE64" s="5"/>
      <c r="AF64" s="5"/>
      <c r="AG64" s="5"/>
    </row>
    <row r="65" spans="1:33">
      <c r="A65" s="5"/>
      <c r="B65" s="5"/>
      <c r="C65" s="5"/>
      <c r="D65" s="5"/>
      <c r="E65" s="5"/>
      <c r="U65" s="79">
        <f t="shared" ref="U65" si="23">ROUNDUP((T65+Q65), -2)</f>
        <v>0</v>
      </c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</row>
    <row r="66" spans="1:33">
      <c r="A66" s="5"/>
      <c r="B66" s="6"/>
      <c r="C66" s="5"/>
      <c r="D66" s="5"/>
      <c r="E66" s="5"/>
      <c r="K66" s="78" t="s">
        <v>311</v>
      </c>
      <c r="N66" s="20">
        <v>0.45833333333333331</v>
      </c>
      <c r="O66" s="20">
        <v>8.3333333333333329E-2</v>
      </c>
      <c r="P66" s="20">
        <f>N66+O66</f>
        <v>0.54166666666666663</v>
      </c>
      <c r="Q66" s="21">
        <f>(P66*24)*1000</f>
        <v>13000</v>
      </c>
      <c r="R66" s="21">
        <f>Q66*1.17</f>
        <v>15209.999999999998</v>
      </c>
      <c r="S66" s="21"/>
      <c r="T66" s="21">
        <f>E25</f>
        <v>2463.6363636363635</v>
      </c>
      <c r="U66" s="79">
        <f>ROUNDUP((R66+T66), -2)</f>
        <v>17700</v>
      </c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</row>
    <row r="67" spans="1:33">
      <c r="A67" s="5"/>
      <c r="B67" s="5"/>
      <c r="C67" s="5"/>
      <c r="D67" s="5"/>
      <c r="E67" s="5"/>
      <c r="K67" s="78" t="s">
        <v>312</v>
      </c>
      <c r="N67" s="20">
        <v>0.45833333333333331</v>
      </c>
      <c r="O67" s="20">
        <v>8.3333333333333329E-2</v>
      </c>
      <c r="P67" s="20">
        <f>N67+O67</f>
        <v>0.54166666666666663</v>
      </c>
      <c r="Q67" s="21">
        <f>(P67*24)*1000</f>
        <v>13000</v>
      </c>
      <c r="R67" s="21">
        <f>Q67*1.17</f>
        <v>15209.999999999998</v>
      </c>
      <c r="S67" s="21"/>
      <c r="T67" s="21">
        <f>E24</f>
        <v>2777.7777777777778</v>
      </c>
      <c r="U67" s="79">
        <f>ROUNDUP((R67+T67), -2)</f>
        <v>18000</v>
      </c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</row>
    <row r="68" spans="1:33">
      <c r="A68" s="5"/>
      <c r="B68" s="5"/>
      <c r="C68" s="5"/>
      <c r="D68" s="5"/>
      <c r="E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</row>
    <row r="69" spans="1:33" s="78" customFormat="1">
      <c r="A69" s="5"/>
      <c r="B69" s="5"/>
      <c r="C69" s="5"/>
      <c r="D69" s="5"/>
      <c r="E69" s="5"/>
      <c r="K69" s="9" t="s">
        <v>320</v>
      </c>
      <c r="L69" s="25">
        <v>2.4305555555555556E-2</v>
      </c>
      <c r="M69" s="25">
        <v>4.7916666666666663E-2</v>
      </c>
      <c r="N69" s="25">
        <f>L69+M69</f>
        <v>7.2222222222222215E-2</v>
      </c>
      <c r="O69" s="25">
        <v>0.125</v>
      </c>
      <c r="P69" s="25">
        <f>N69+O69</f>
        <v>0.19722222222222222</v>
      </c>
      <c r="Q69" s="9">
        <f>(P69*24)*1000</f>
        <v>4733.333333333333</v>
      </c>
      <c r="R69" s="9">
        <f>Q69*1.17</f>
        <v>5537.9999999999991</v>
      </c>
      <c r="S69" s="9">
        <f>(P69*24)*1333</f>
        <v>6309.5333333333338</v>
      </c>
      <c r="T69" s="23">
        <v>1200</v>
      </c>
      <c r="U69" s="61">
        <f>ROUNDUP((R69+T69), -2)</f>
        <v>6800</v>
      </c>
      <c r="V69" s="5"/>
      <c r="W69" s="57">
        <f>ROUNDUP((S69+T69), -2)</f>
        <v>7600</v>
      </c>
      <c r="X69" s="5"/>
      <c r="Y69" s="5"/>
      <c r="Z69" s="5">
        <v>4800</v>
      </c>
      <c r="AA69" s="57">
        <f>W69-Z69</f>
        <v>2800</v>
      </c>
      <c r="AB69" s="5"/>
      <c r="AC69" s="5"/>
      <c r="AD69" s="5"/>
      <c r="AE69" s="5"/>
      <c r="AF69" s="5"/>
      <c r="AG69" s="5"/>
    </row>
    <row r="70" spans="1:33" s="78" customFormat="1">
      <c r="A70" s="5"/>
      <c r="B70" s="5"/>
      <c r="C70" s="5"/>
      <c r="D70" s="5"/>
      <c r="E70" s="5"/>
      <c r="K70" s="78" t="s">
        <v>321</v>
      </c>
      <c r="L70" s="25">
        <v>2.4305555555555556E-2</v>
      </c>
      <c r="M70" s="25">
        <v>4.7916666666666663E-2</v>
      </c>
      <c r="N70" s="25">
        <f>L70+M70</f>
        <v>7.2222222222222215E-2</v>
      </c>
      <c r="O70" s="25">
        <v>0.125</v>
      </c>
      <c r="P70" s="25">
        <f>N70+O70</f>
        <v>0.19722222222222222</v>
      </c>
      <c r="Q70" s="9">
        <f>(P70*24)*1000</f>
        <v>4733.333333333333</v>
      </c>
      <c r="R70" s="9">
        <f>Q70*1.17</f>
        <v>5537.9999999999991</v>
      </c>
      <c r="S70" s="9">
        <f>(P70*24)*1333</f>
        <v>6309.5333333333338</v>
      </c>
      <c r="T70" s="23">
        <v>1700</v>
      </c>
      <c r="U70" s="61">
        <f>ROUNDUP((R70+T70), -2)</f>
        <v>7300</v>
      </c>
      <c r="V70" s="5"/>
      <c r="W70" s="57">
        <f>ROUNDUP((S70+T70), -2)</f>
        <v>8100</v>
      </c>
      <c r="X70" s="5"/>
      <c r="Y70" s="5"/>
      <c r="Z70" s="5">
        <v>5300</v>
      </c>
      <c r="AA70" s="57">
        <f>W70-Z70</f>
        <v>2800</v>
      </c>
      <c r="AB70" s="5"/>
      <c r="AC70" s="5"/>
      <c r="AD70" s="5"/>
      <c r="AE70" s="5"/>
      <c r="AF70" s="5"/>
      <c r="AG70" s="5"/>
    </row>
    <row r="71" spans="1:33">
      <c r="A71" s="5"/>
      <c r="B71" s="5"/>
      <c r="C71" s="5"/>
      <c r="D71" s="5"/>
      <c r="E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</row>
    <row r="72" spans="1:33">
      <c r="A72" s="5"/>
      <c r="B72" s="6"/>
      <c r="C72" s="5"/>
      <c r="D72" s="5" t="s">
        <v>333</v>
      </c>
      <c r="E72" s="5">
        <v>1100</v>
      </c>
      <c r="H72" s="78" t="s">
        <v>214</v>
      </c>
      <c r="I72" s="78" t="s">
        <v>215</v>
      </c>
      <c r="L72" s="78" t="s">
        <v>216</v>
      </c>
      <c r="M72" s="78" t="s">
        <v>217</v>
      </c>
      <c r="N72" s="78" t="s">
        <v>218</v>
      </c>
      <c r="P72" s="78" t="s">
        <v>317</v>
      </c>
      <c r="Q72" s="78" t="s">
        <v>318</v>
      </c>
      <c r="R72" s="78" t="s">
        <v>319</v>
      </c>
      <c r="T72" s="78"/>
      <c r="V72" s="5"/>
      <c r="W72" s="56"/>
      <c r="X72" s="5"/>
      <c r="Y72" s="56"/>
      <c r="Z72" s="56"/>
      <c r="AA72" s="56"/>
      <c r="AB72" s="56"/>
      <c r="AC72" s="5"/>
      <c r="AD72" s="5"/>
      <c r="AE72" s="5"/>
      <c r="AF72" s="6"/>
      <c r="AG72" s="5"/>
    </row>
    <row r="73" spans="1:33">
      <c r="C73" s="9" t="s">
        <v>339</v>
      </c>
      <c r="D73" s="2">
        <v>40.5</v>
      </c>
      <c r="E73" s="2">
        <f>E72/D73</f>
        <v>27.160493827160494</v>
      </c>
      <c r="G73" s="78" t="s">
        <v>213</v>
      </c>
      <c r="H73" s="2">
        <v>37.5</v>
      </c>
      <c r="I73" s="2">
        <v>24</v>
      </c>
      <c r="J73" s="21">
        <f>90000/24</f>
        <v>3750</v>
      </c>
      <c r="L73" s="91">
        <v>8</v>
      </c>
      <c r="M73" s="91"/>
      <c r="N73" s="91"/>
      <c r="O73" s="91"/>
      <c r="P73" s="2">
        <v>8</v>
      </c>
      <c r="R73" s="2"/>
      <c r="T73" s="78"/>
      <c r="U73" s="2">
        <f>P73+Q73+R73</f>
        <v>8</v>
      </c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</row>
    <row r="74" spans="1:33">
      <c r="C74" s="9" t="s">
        <v>337</v>
      </c>
      <c r="D74" s="2">
        <v>40.4</v>
      </c>
      <c r="E74" s="2">
        <f>E72/D74</f>
        <v>27.227722772277229</v>
      </c>
      <c r="G74" s="78" t="s">
        <v>334</v>
      </c>
      <c r="H74" s="2">
        <v>37.4</v>
      </c>
      <c r="I74" s="2">
        <v>24</v>
      </c>
      <c r="J74" s="21">
        <f>90000/24</f>
        <v>3750</v>
      </c>
      <c r="L74" s="91">
        <v>8</v>
      </c>
      <c r="M74" s="91"/>
      <c r="N74" s="91">
        <v>85</v>
      </c>
      <c r="O74" s="91"/>
      <c r="P74" s="2">
        <v>8</v>
      </c>
      <c r="R74" s="2">
        <v>7</v>
      </c>
      <c r="T74" s="78"/>
      <c r="U74" s="78">
        <f t="shared" ref="U74:U75" si="24">P74+Q74+R74</f>
        <v>15</v>
      </c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</row>
    <row r="75" spans="1:33">
      <c r="C75" s="9" t="s">
        <v>338</v>
      </c>
      <c r="D75" s="2">
        <v>41.7</v>
      </c>
      <c r="E75" s="2">
        <f>E72/D75</f>
        <v>26.378896882494004</v>
      </c>
      <c r="G75" s="78" t="s">
        <v>212</v>
      </c>
      <c r="H75" s="2">
        <v>38.700000000000003</v>
      </c>
      <c r="I75" s="2">
        <v>23</v>
      </c>
      <c r="J75" s="21">
        <f>90000/23</f>
        <v>3913.0434782608695</v>
      </c>
      <c r="L75" s="91">
        <v>6</v>
      </c>
      <c r="M75" s="91">
        <v>35</v>
      </c>
      <c r="N75" s="91">
        <v>75</v>
      </c>
      <c r="O75" s="91"/>
      <c r="P75" s="2">
        <v>6</v>
      </c>
      <c r="Q75" s="2">
        <v>3</v>
      </c>
      <c r="R75" s="2">
        <v>6</v>
      </c>
      <c r="T75" s="78"/>
      <c r="U75" s="78">
        <f t="shared" si="24"/>
        <v>15</v>
      </c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</row>
    <row r="76" spans="1:33">
      <c r="B76" s="4"/>
      <c r="J76" s="21">
        <f>SUM(J73:J75)</f>
        <v>11413.04347826087</v>
      </c>
      <c r="M76" s="78" t="s">
        <v>315</v>
      </c>
      <c r="N76" s="78" t="s">
        <v>316</v>
      </c>
      <c r="O76" s="91"/>
      <c r="R76" s="2"/>
      <c r="T76" s="78"/>
      <c r="U76" s="2">
        <f>SUM(U73:U75)</f>
        <v>38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</row>
    <row r="77" spans="1:33"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</row>
    <row r="78" spans="1:33">
      <c r="E78" s="2">
        <v>1.1000000000000001</v>
      </c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</row>
    <row r="79" spans="1:33">
      <c r="E79" s="2">
        <v>1.1000000000000001</v>
      </c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</row>
    <row r="80" spans="1:33"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</row>
    <row r="81" spans="21:33">
      <c r="U81" s="5"/>
      <c r="V81" s="5"/>
      <c r="W81" s="5"/>
      <c r="X81" s="5"/>
      <c r="Y81" s="5"/>
      <c r="Z81" s="5"/>
      <c r="AA81" s="5"/>
      <c r="AB81" s="5"/>
      <c r="AC81" s="6"/>
      <c r="AD81" s="5"/>
      <c r="AE81" s="5"/>
      <c r="AF81" s="5"/>
      <c r="AG81" s="5"/>
    </row>
    <row r="82" spans="21:33">
      <c r="U82" s="5"/>
      <c r="V82" s="5"/>
      <c r="W82" s="5"/>
      <c r="X82" s="5"/>
      <c r="Y82" s="5"/>
      <c r="Z82" s="5"/>
      <c r="AA82" s="5"/>
      <c r="AB82" s="5"/>
      <c r="AC82" s="6"/>
      <c r="AD82" s="5"/>
      <c r="AE82" s="5"/>
      <c r="AF82" s="5"/>
      <c r="AG82" s="5"/>
    </row>
    <row r="83" spans="21:33">
      <c r="U83" s="5"/>
      <c r="V83" s="5"/>
      <c r="W83" s="5"/>
      <c r="X83" s="5"/>
      <c r="Y83" s="5"/>
      <c r="Z83" s="5"/>
      <c r="AA83" s="5"/>
      <c r="AB83" s="5"/>
      <c r="AC83" s="6"/>
      <c r="AD83" s="5"/>
      <c r="AE83" s="5"/>
      <c r="AF83" s="5"/>
      <c r="AG83" s="5"/>
    </row>
    <row r="84" spans="21:33"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</row>
    <row r="85" spans="21:33">
      <c r="U85" s="5"/>
      <c r="V85" s="5"/>
      <c r="W85" s="5"/>
      <c r="X85" s="5"/>
      <c r="Y85" s="5"/>
      <c r="Z85" s="5"/>
      <c r="AA85" s="5"/>
      <c r="AB85" s="5"/>
      <c r="AC85" s="6"/>
      <c r="AD85" s="5"/>
      <c r="AE85" s="5"/>
      <c r="AF85" s="5"/>
      <c r="AG85" s="5"/>
    </row>
    <row r="86" spans="21:33">
      <c r="U86" s="5"/>
      <c r="V86" s="5"/>
      <c r="W86" s="5"/>
      <c r="X86" s="5"/>
      <c r="Y86" s="5"/>
      <c r="Z86" s="5"/>
      <c r="AA86" s="5"/>
      <c r="AB86" s="5"/>
      <c r="AC86" s="6"/>
      <c r="AD86" s="5"/>
      <c r="AE86" s="5"/>
      <c r="AF86" s="5"/>
      <c r="AG86" s="5"/>
    </row>
    <row r="87" spans="21:33"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</row>
    <row r="88" spans="21:33"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</row>
    <row r="89" spans="21:33"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</row>
    <row r="90" spans="21:33"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</row>
    <row r="91" spans="21:33"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</row>
  </sheetData>
  <mergeCells count="8">
    <mergeCell ref="K3:U3"/>
    <mergeCell ref="K26:U26"/>
    <mergeCell ref="K42:U42"/>
    <mergeCell ref="B16:D16"/>
    <mergeCell ref="C4:E4"/>
    <mergeCell ref="E15:H15"/>
    <mergeCell ref="V43:Y43"/>
    <mergeCell ref="V40:Y40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3:O11"/>
  <sheetViews>
    <sheetView showGridLines="0" workbookViewId="0">
      <selection activeCell="J13" sqref="J13"/>
    </sheetView>
  </sheetViews>
  <sheetFormatPr baseColWidth="10" defaultRowHeight="12"/>
  <cols>
    <col min="1" max="1" width="11.42578125" style="78"/>
    <col min="2" max="2" width="30.7109375" style="78" bestFit="1" customWidth="1"/>
    <col min="3" max="3" width="7.5703125" style="78" bestFit="1" customWidth="1"/>
    <col min="4" max="4" width="5.28515625" style="78" bestFit="1" customWidth="1"/>
    <col min="5" max="5" width="9.7109375" style="78" bestFit="1" customWidth="1"/>
    <col min="6" max="16384" width="11.42578125" style="78"/>
  </cols>
  <sheetData>
    <row r="3" spans="2:15" ht="12.75" thickBot="1"/>
    <row r="4" spans="2:15" ht="12.75" thickBot="1">
      <c r="B4" s="83" t="s">
        <v>11</v>
      </c>
      <c r="C4" s="83" t="s">
        <v>197</v>
      </c>
      <c r="D4" s="83" t="s">
        <v>10</v>
      </c>
      <c r="E4" s="82" t="s">
        <v>198</v>
      </c>
    </row>
    <row r="5" spans="2:15">
      <c r="B5" s="41" t="s">
        <v>206</v>
      </c>
      <c r="C5" s="85">
        <v>12500</v>
      </c>
      <c r="D5" s="47">
        <v>20</v>
      </c>
      <c r="E5" s="39">
        <v>250000</v>
      </c>
      <c r="G5" s="78">
        <v>143</v>
      </c>
      <c r="H5" s="78">
        <v>2860</v>
      </c>
      <c r="I5" s="78">
        <v>6120</v>
      </c>
      <c r="K5" s="78" t="s">
        <v>190</v>
      </c>
      <c r="L5" s="78">
        <v>6200</v>
      </c>
      <c r="M5" s="78">
        <v>6.2</v>
      </c>
      <c r="N5" s="79">
        <v>17100</v>
      </c>
      <c r="O5" s="79">
        <v>106020</v>
      </c>
    </row>
    <row r="6" spans="2:15">
      <c r="B6" s="87" t="s">
        <v>207</v>
      </c>
      <c r="C6" s="81">
        <v>13200</v>
      </c>
      <c r="D6" s="88">
        <v>20</v>
      </c>
      <c r="E6" s="89">
        <v>264000</v>
      </c>
      <c r="G6" s="78">
        <v>163</v>
      </c>
      <c r="H6" s="78">
        <v>3260</v>
      </c>
      <c r="K6" s="78" t="s">
        <v>164</v>
      </c>
      <c r="L6" s="78">
        <v>43300</v>
      </c>
      <c r="M6" s="78">
        <v>43.3</v>
      </c>
      <c r="N6" s="79">
        <v>24600</v>
      </c>
      <c r="O6" s="79">
        <v>1065180</v>
      </c>
    </row>
    <row r="7" spans="2:15">
      <c r="B7" s="42" t="s">
        <v>191</v>
      </c>
      <c r="C7" s="80">
        <v>13800</v>
      </c>
      <c r="D7" s="48">
        <v>80</v>
      </c>
      <c r="E7" s="39">
        <v>1104000</v>
      </c>
      <c r="G7" s="78">
        <v>133</v>
      </c>
      <c r="H7" s="78">
        <v>10640</v>
      </c>
      <c r="I7" s="78">
        <v>43240</v>
      </c>
      <c r="K7" s="78" t="s">
        <v>192</v>
      </c>
      <c r="L7" s="78">
        <v>3800</v>
      </c>
      <c r="M7" s="78">
        <v>3.8</v>
      </c>
      <c r="N7" s="79">
        <v>93800</v>
      </c>
      <c r="O7" s="79">
        <v>356440</v>
      </c>
    </row>
    <row r="8" spans="2:15">
      <c r="B8" s="42" t="s">
        <v>193</v>
      </c>
      <c r="C8" s="80">
        <v>15500</v>
      </c>
      <c r="D8" s="48">
        <v>140</v>
      </c>
      <c r="E8" s="39">
        <v>2170000</v>
      </c>
      <c r="G8" s="78">
        <v>163</v>
      </c>
      <c r="H8" s="78">
        <v>22820</v>
      </c>
      <c r="O8" s="79">
        <v>1527640</v>
      </c>
    </row>
    <row r="9" spans="2:15">
      <c r="B9" s="87" t="s">
        <v>194</v>
      </c>
      <c r="C9" s="81">
        <v>11700</v>
      </c>
      <c r="D9" s="88">
        <v>60</v>
      </c>
      <c r="E9" s="89">
        <v>702000</v>
      </c>
      <c r="G9" s="78">
        <v>163</v>
      </c>
      <c r="H9" s="78">
        <v>9780</v>
      </c>
    </row>
    <row r="10" spans="2:15" ht="12.75" thickBot="1">
      <c r="B10" s="43" t="s">
        <v>195</v>
      </c>
      <c r="C10" s="86">
        <v>27200</v>
      </c>
      <c r="D10" s="49">
        <v>32</v>
      </c>
      <c r="E10" s="31">
        <v>870400</v>
      </c>
      <c r="G10" s="78">
        <v>114</v>
      </c>
      <c r="H10" s="78">
        <v>3648</v>
      </c>
      <c r="I10" s="78">
        <v>3648</v>
      </c>
    </row>
    <row r="11" spans="2:15" ht="12.75" thickBot="1">
      <c r="E11" s="84">
        <v>5360400</v>
      </c>
      <c r="N11" s="78" t="s">
        <v>196</v>
      </c>
      <c r="O11" s="79">
        <v>3832760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ENTREGADOS</vt:lpstr>
      <vt:lpstr>DESCRIPCION 2024</vt:lpstr>
      <vt:lpstr>TIEMPOS (2)</vt:lpstr>
      <vt:lpstr>TIEMPOS 30mm PUNTA</vt:lpstr>
      <vt:lpstr>ultimo pedido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dcterms:created xsi:type="dcterms:W3CDTF">2021-09-29T17:49:24Z</dcterms:created>
  <dcterms:modified xsi:type="dcterms:W3CDTF">2025-10-29T17:13:26Z</dcterms:modified>
</cp:coreProperties>
</file>